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Lenovo\Desktop\PROBATION Audit-2082\PROBATION Self Evaluation-2082\"/>
    </mc:Choice>
  </mc:AlternateContent>
  <xr:revisionPtr revIDLastSave="0" documentId="13_ncr:1_{79716EC0-8031-412B-85C2-F4020F1AB8DB}" xr6:coauthVersionLast="47" xr6:coauthVersionMax="47" xr10:uidLastSave="{00000000-0000-0000-0000-000000000000}"/>
  <bookViews>
    <workbookView xWindow="-110" yWindow="-110" windowWidth="19420" windowHeight="10300" tabRatio="852" activeTab="4" xr2:uid="{00000000-000D-0000-FFFF-FFFF00000000}"/>
  </bookViews>
  <sheets>
    <sheet name="Request" sheetId="30" r:id="rId1"/>
    <sheet name="Input-TB" sheetId="6" r:id="rId2"/>
    <sheet name="Input-Loan Ageing" sheetId="26" r:id="rId3"/>
    <sheet name="Input-Additional" sheetId="27" r:id="rId4"/>
    <sheet name="Input-SCAN" sheetId="2" r:id="rId5"/>
    <sheet name="Input-PROBATION Self Evaluation" sheetId="28" r:id="rId6"/>
    <sheet name="Output-Risk Profile" sheetId="13" state="hidden" r:id="rId7"/>
    <sheet name="Risk-Profile" sheetId="31" r:id="rId8"/>
    <sheet name="Output-Financial Report" sheetId="12" state="hidden" r:id="rId9"/>
    <sheet name="Financial Report" sheetId="32" r:id="rId10"/>
    <sheet name="Output-Balance Sheet" sheetId="8" state="hidden" r:id="rId11"/>
    <sheet name="Balance Sheet" sheetId="33" r:id="rId12"/>
    <sheet name="Output-PL" sheetId="7" state="hidden" r:id="rId13"/>
    <sheet name="Income Statement" sheetId="34" r:id="rId14"/>
    <sheet name="Output-Capital Adequacy" sheetId="9" state="hidden" r:id="rId15"/>
    <sheet name="Capital Adequacy" sheetId="35" r:id="rId16"/>
    <sheet name="Output-PEARLS" sheetId="10" state="hidden" r:id="rId17"/>
    <sheet name="PEARLS" sheetId="36" r:id="rId18"/>
    <sheet name="Output-MCI" sheetId="29" state="hidden" r:id="rId19"/>
    <sheet name="MCI" sheetId="37" r:id="rId20"/>
  </sheets>
  <definedNames>
    <definedName name="capitaladequacy">'Output-Capital Adequacy'!$A$38:$D$58</definedName>
    <definedName name="_xlnm.Print_Area" localSheetId="3">'Input-Additional'!$A$2:$B$21</definedName>
    <definedName name="_xlnm.Print_Area" localSheetId="2">'Input-Loan Ageing'!$A$4:$F$19</definedName>
    <definedName name="_xlnm.Print_Area" localSheetId="4">'Input-SCAN'!$A$1:$K$148</definedName>
    <definedName name="_xlnm.Print_Area" localSheetId="10">'Output-Balance Sheet'!$A$1:$D$60</definedName>
    <definedName name="_xlnm.Print_Area" localSheetId="14">'Output-Capital Adequacy'!$A$1:$F$58</definedName>
    <definedName name="_xlnm.Print_Area" localSheetId="16">'Output-PEARLS'!$A$1:$F$45</definedName>
    <definedName name="_xlnm.Print_Area" localSheetId="12">'Output-PL'!$A$1:$D$27</definedName>
    <definedName name="RWA">'Output-Capital Adequacy'!$A$1</definedName>
    <definedName name="Z_25DE02B3_1CDA_48F7_89E3_3677026220D5_.wvu.PrintArea" localSheetId="4" hidden="1">'Input-SCAN'!$A$1:$K$148</definedName>
    <definedName name="Z_25DE02B3_1CDA_48F7_89E3_3677026220D5_.wvu.PrintArea" localSheetId="10" hidden="1">'Output-Balance Sheet'!$A$1:$D$60</definedName>
    <definedName name="Z_25DE02B3_1CDA_48F7_89E3_3677026220D5_.wvu.PrintArea" localSheetId="14" hidden="1">'Output-Capital Adequacy'!$A$1:$F$58</definedName>
    <definedName name="Z_25DE02B3_1CDA_48F7_89E3_3677026220D5_.wvu.PrintArea" localSheetId="16" hidden="1">'Output-PEARLS'!$A$1:$F$45</definedName>
    <definedName name="Z_25DE02B3_1CDA_48F7_89E3_3677026220D5_.wvu.PrintArea" localSheetId="12" hidden="1">'Output-PL'!$A$1:$D$27</definedName>
    <definedName name="Z_9C839773_0576_4D5E_B841_6D274CD2DC85_.wvu.PrintArea" localSheetId="4" hidden="1">'Input-SCAN'!$A$1:$K$148</definedName>
    <definedName name="Z_9C839773_0576_4D5E_B841_6D274CD2DC85_.wvu.PrintArea" localSheetId="10" hidden="1">'Output-Balance Sheet'!$A$1:$D$60</definedName>
    <definedName name="Z_9C839773_0576_4D5E_B841_6D274CD2DC85_.wvu.PrintArea" localSheetId="14" hidden="1">'Output-Capital Adequacy'!$A$1:$F$58</definedName>
    <definedName name="Z_9C839773_0576_4D5E_B841_6D274CD2DC85_.wvu.PrintArea" localSheetId="16" hidden="1">'Output-PEARLS'!$A$1:$F$45</definedName>
    <definedName name="Z_9C839773_0576_4D5E_B841_6D274CD2DC85_.wvu.PrintArea" localSheetId="12" hidden="1">'Output-PL'!$A$1:$D$27</definedName>
    <definedName name="Z_AF169707_4E0F_443B_AC54_AEDA2A2EE592_.wvu.PrintArea" localSheetId="4" hidden="1">'Input-SCAN'!$A$1:$K$148</definedName>
    <definedName name="Z_AF169707_4E0F_443B_AC54_AEDA2A2EE592_.wvu.PrintArea" localSheetId="10" hidden="1">'Output-Balance Sheet'!$A$1:$D$60</definedName>
    <definedName name="Z_AF169707_4E0F_443B_AC54_AEDA2A2EE592_.wvu.PrintArea" localSheetId="14" hidden="1">'Output-Capital Adequacy'!$A$1:$F$58</definedName>
    <definedName name="Z_AF169707_4E0F_443B_AC54_AEDA2A2EE592_.wvu.PrintArea" localSheetId="16" hidden="1">'Output-PEARLS'!$A$1:$F$45</definedName>
    <definedName name="Z_AF169707_4E0F_443B_AC54_AEDA2A2EE592_.wvu.PrintArea" localSheetId="12" hidden="1">'Output-PL'!$A$1:$D$27</definedName>
    <definedName name="Z_B03DA2A8_6E10_4AC8_B8E9_08273B4719D3_.wvu.PrintArea" localSheetId="4" hidden="1">'Input-SCAN'!$A$1:$K$148</definedName>
    <definedName name="Z_B03DA2A8_6E10_4AC8_B8E9_08273B4719D3_.wvu.PrintArea" localSheetId="10" hidden="1">'Output-Balance Sheet'!$A$1:$D$60</definedName>
    <definedName name="Z_B03DA2A8_6E10_4AC8_B8E9_08273B4719D3_.wvu.PrintArea" localSheetId="14" hidden="1">'Output-Capital Adequacy'!$A$1:$F$58</definedName>
    <definedName name="Z_B03DA2A8_6E10_4AC8_B8E9_08273B4719D3_.wvu.PrintArea" localSheetId="16" hidden="1">'Output-PEARLS'!$A$1:$F$45</definedName>
    <definedName name="Z_B03DA2A8_6E10_4AC8_B8E9_08273B4719D3_.wvu.PrintArea" localSheetId="12" hidden="1">'Output-PL'!$A$1:$D$27</definedName>
    <definedName name="नेपाल_बचत_तथा_ऋण_केन्द्रीय_सहकारी_संघ_लि__नेफस्कून" localSheetId="6">'Output-Risk Profile'!$A$1:$G$50</definedName>
  </definedNames>
  <calcPr calcId="191029"/>
  <customWorkbookViews>
    <customWorkbookView name="TB Liabilities and Income" guid="{B03DA2A8-6E10-4AC8-B8E9-08273B4719D3}" maximized="1" xWindow="-11" yWindow="-11" windowWidth="1942" windowHeight="1030" tabRatio="852" activeSheetId="6"/>
    <customWorkbookView name="TB Assets and Expenses" guid="{AF169707-4E0F-443B-AC54-AEDA2A2EE592}" maximized="1" xWindow="-11" yWindow="-11" windowWidth="1942" windowHeight="1030" tabRatio="852" activeSheetId="6"/>
    <customWorkbookView name="Opening figure/TB input from Last Year" guid="{9C839773-0576-4D5E-B841-6D274CD2DC85}" maximized="1" xWindow="-11" yWindow="-11" windowWidth="1942" windowHeight="1030" tabRatio="852" activeSheetId="6"/>
    <customWorkbookView name="Loan Ageing" guid="{25DE02B3-1CDA-48F7-89E3-3677026220D5}" maximized="1" xWindow="-11" yWindow="-11" windowWidth="1942" windowHeight="1030" tabRatio="852" activeSheetId="6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5" i="2" l="1"/>
  <c r="E136" i="2"/>
  <c r="E129" i="2"/>
  <c r="E128" i="2"/>
  <c r="E127" i="2"/>
  <c r="G29" i="2"/>
  <c r="F28" i="2"/>
  <c r="H28" i="2" s="1"/>
  <c r="F27" i="2"/>
  <c r="F25" i="2"/>
  <c r="H25" i="2" s="1"/>
  <c r="E33" i="2"/>
  <c r="C3" i="37"/>
  <c r="C2" i="37"/>
  <c r="C1" i="37"/>
  <c r="B3" i="37"/>
  <c r="B1" i="37"/>
  <c r="C29" i="37"/>
  <c r="C28" i="37"/>
  <c r="C22" i="37"/>
  <c r="C21" i="37"/>
  <c r="C23" i="37" s="1"/>
  <c r="C20" i="37"/>
  <c r="C19" i="37"/>
  <c r="C24" i="37" s="1"/>
  <c r="C13" i="37"/>
  <c r="C10" i="37"/>
  <c r="C11" i="37" s="1"/>
  <c r="C12" i="37" s="1"/>
  <c r="C9" i="37"/>
  <c r="C7" i="37"/>
  <c r="C6" i="37"/>
  <c r="C5" i="37"/>
  <c r="C8" i="37" s="1"/>
  <c r="E45" i="36"/>
  <c r="D45" i="36"/>
  <c r="F45" i="36" s="1"/>
  <c r="E44" i="36"/>
  <c r="D44" i="36"/>
  <c r="F44" i="36" s="1"/>
  <c r="E42" i="36"/>
  <c r="F42" i="36" s="1"/>
  <c r="D42" i="36"/>
  <c r="F41" i="36"/>
  <c r="D39" i="36"/>
  <c r="F39" i="36" s="1"/>
  <c r="E38" i="36"/>
  <c r="E39" i="36" s="1"/>
  <c r="D38" i="36"/>
  <c r="F38" i="36" s="1"/>
  <c r="E37" i="36"/>
  <c r="F37" i="36" s="1"/>
  <c r="D37" i="36"/>
  <c r="E36" i="36"/>
  <c r="D36" i="36"/>
  <c r="F36" i="36" s="1"/>
  <c r="E35" i="36"/>
  <c r="F35" i="36" s="1"/>
  <c r="D35" i="36"/>
  <c r="E34" i="36"/>
  <c r="D34" i="36"/>
  <c r="F34" i="36" s="1"/>
  <c r="E33" i="36"/>
  <c r="D33" i="36"/>
  <c r="F33" i="36" s="1"/>
  <c r="D30" i="36"/>
  <c r="E31" i="36" s="1"/>
  <c r="E29" i="36"/>
  <c r="D29" i="36"/>
  <c r="F29" i="36" s="1"/>
  <c r="D27" i="36"/>
  <c r="D26" i="36"/>
  <c r="D25" i="36"/>
  <c r="D24" i="36"/>
  <c r="D23" i="36"/>
  <c r="D22" i="36"/>
  <c r="D21" i="36"/>
  <c r="D20" i="36"/>
  <c r="D19" i="36" s="1"/>
  <c r="D18" i="36"/>
  <c r="F18" i="36" s="1"/>
  <c r="E17" i="36"/>
  <c r="E18" i="36" s="1"/>
  <c r="D17" i="36"/>
  <c r="E16" i="36"/>
  <c r="D16" i="36"/>
  <c r="F16" i="36" s="1"/>
  <c r="E14" i="36"/>
  <c r="D14" i="36"/>
  <c r="F14" i="36" s="1"/>
  <c r="D13" i="36"/>
  <c r="D12" i="36"/>
  <c r="E13" i="36" s="1"/>
  <c r="F13" i="36" s="1"/>
  <c r="E11" i="36"/>
  <c r="F11" i="36" s="1"/>
  <c r="D11" i="36"/>
  <c r="E10" i="36"/>
  <c r="F10" i="36" s="1"/>
  <c r="D10" i="36"/>
  <c r="E9" i="36"/>
  <c r="F9" i="36" s="1"/>
  <c r="D9" i="36"/>
  <c r="E8" i="36"/>
  <c r="F8" i="36" s="1"/>
  <c r="D8" i="36"/>
  <c r="E7" i="36"/>
  <c r="F7" i="36" s="1"/>
  <c r="D7" i="36"/>
  <c r="E6" i="36"/>
  <c r="E12" i="36" s="1"/>
  <c r="F12" i="36" s="1"/>
  <c r="D6" i="36"/>
  <c r="C3" i="36"/>
  <c r="E2" i="36"/>
  <c r="D2" i="36"/>
  <c r="C2" i="36"/>
  <c r="C1" i="36"/>
  <c r="I66" i="35"/>
  <c r="H57" i="35"/>
  <c r="H56" i="35"/>
  <c r="C53" i="35"/>
  <c r="B53" i="35"/>
  <c r="H52" i="35"/>
  <c r="D52" i="35"/>
  <c r="C52" i="35"/>
  <c r="B52" i="35"/>
  <c r="D50" i="35"/>
  <c r="H49" i="35"/>
  <c r="D45" i="35"/>
  <c r="C45" i="35"/>
  <c r="B45" i="35"/>
  <c r="D44" i="35"/>
  <c r="C44" i="35"/>
  <c r="B44" i="35"/>
  <c r="D43" i="35"/>
  <c r="C43" i="35"/>
  <c r="B43" i="35"/>
  <c r="D42" i="35"/>
  <c r="D46" i="35" s="1"/>
  <c r="C42" i="35"/>
  <c r="B42" i="35"/>
  <c r="D41" i="35"/>
  <c r="C41" i="35"/>
  <c r="B41" i="35"/>
  <c r="D36" i="35"/>
  <c r="F36" i="35" s="1"/>
  <c r="D35" i="35"/>
  <c r="F35" i="35" s="1"/>
  <c r="C35" i="35"/>
  <c r="B35" i="35"/>
  <c r="A35" i="35"/>
  <c r="D34" i="35"/>
  <c r="F34" i="35" s="1"/>
  <c r="C34" i="35"/>
  <c r="B34" i="35"/>
  <c r="A34" i="35"/>
  <c r="D33" i="35"/>
  <c r="F33" i="35" s="1"/>
  <c r="C33" i="35"/>
  <c r="B33" i="35"/>
  <c r="A33" i="35"/>
  <c r="D32" i="35"/>
  <c r="F32" i="35" s="1"/>
  <c r="C32" i="35"/>
  <c r="B32" i="35"/>
  <c r="A32" i="35"/>
  <c r="F31" i="35"/>
  <c r="D31" i="35"/>
  <c r="C31" i="35"/>
  <c r="B31" i="35"/>
  <c r="A31" i="35"/>
  <c r="D30" i="35"/>
  <c r="F30" i="35" s="1"/>
  <c r="C30" i="35"/>
  <c r="B30" i="35"/>
  <c r="A30" i="35"/>
  <c r="D29" i="35"/>
  <c r="F29" i="35" s="1"/>
  <c r="C29" i="35"/>
  <c r="B29" i="35"/>
  <c r="A29" i="35"/>
  <c r="F28" i="35"/>
  <c r="D28" i="35"/>
  <c r="C28" i="35"/>
  <c r="B28" i="35"/>
  <c r="A28" i="35"/>
  <c r="D27" i="35"/>
  <c r="F27" i="35" s="1"/>
  <c r="C27" i="35"/>
  <c r="B27" i="35"/>
  <c r="A27" i="35"/>
  <c r="C26" i="35"/>
  <c r="B26" i="35"/>
  <c r="A26" i="35"/>
  <c r="D25" i="35"/>
  <c r="D26" i="35" s="1"/>
  <c r="F26" i="35" s="1"/>
  <c r="C25" i="35"/>
  <c r="A25" i="35"/>
  <c r="D24" i="35"/>
  <c r="C24" i="35"/>
  <c r="B24" i="35"/>
  <c r="A24" i="35"/>
  <c r="D23" i="35"/>
  <c r="C23" i="35"/>
  <c r="B23" i="35"/>
  <c r="A23" i="35"/>
  <c r="D22" i="35"/>
  <c r="C22" i="35"/>
  <c r="B22" i="35"/>
  <c r="A22" i="35"/>
  <c r="D21" i="35"/>
  <c r="F21" i="35" s="1"/>
  <c r="C21" i="35"/>
  <c r="B21" i="35"/>
  <c r="A21" i="35"/>
  <c r="D20" i="35"/>
  <c r="C20" i="35"/>
  <c r="B20" i="35"/>
  <c r="A20" i="35"/>
  <c r="D19" i="35"/>
  <c r="F19" i="35" s="1"/>
  <c r="C19" i="35"/>
  <c r="B19" i="35"/>
  <c r="A19" i="35"/>
  <c r="D18" i="35"/>
  <c r="F18" i="35" s="1"/>
  <c r="C18" i="35"/>
  <c r="B18" i="35"/>
  <c r="A18" i="35"/>
  <c r="F17" i="35"/>
  <c r="D17" i="35"/>
  <c r="C17" i="35"/>
  <c r="B17" i="35"/>
  <c r="A17" i="35"/>
  <c r="D16" i="35"/>
  <c r="F16" i="35" s="1"/>
  <c r="C16" i="35"/>
  <c r="B16" i="35"/>
  <c r="A16" i="35"/>
  <c r="D15" i="35"/>
  <c r="F15" i="35" s="1"/>
  <c r="C15" i="35"/>
  <c r="B15" i="35"/>
  <c r="A15" i="35"/>
  <c r="F14" i="35"/>
  <c r="D14" i="35"/>
  <c r="C14" i="35"/>
  <c r="B14" i="35"/>
  <c r="A14" i="35"/>
  <c r="D13" i="35"/>
  <c r="D12" i="35" s="1"/>
  <c r="C13" i="35"/>
  <c r="B13" i="35"/>
  <c r="A13" i="35"/>
  <c r="C12" i="35"/>
  <c r="B12" i="35"/>
  <c r="A12" i="35"/>
  <c r="D11" i="35"/>
  <c r="F11" i="35" s="1"/>
  <c r="C11" i="35"/>
  <c r="B11" i="35"/>
  <c r="A11" i="35"/>
  <c r="D10" i="35"/>
  <c r="F10" i="35" s="1"/>
  <c r="C10" i="35"/>
  <c r="B10" i="35"/>
  <c r="A10" i="35"/>
  <c r="F9" i="35"/>
  <c r="D9" i="35"/>
  <c r="C9" i="35"/>
  <c r="B9" i="35"/>
  <c r="A9" i="35"/>
  <c r="D8" i="35"/>
  <c r="F8" i="35" s="1"/>
  <c r="C8" i="35"/>
  <c r="B8" i="35"/>
  <c r="A8" i="35"/>
  <c r="D7" i="35"/>
  <c r="C7" i="35"/>
  <c r="B7" i="35"/>
  <c r="A7" i="35"/>
  <c r="D6" i="35"/>
  <c r="C6" i="35"/>
  <c r="B6" i="35"/>
  <c r="A6" i="35"/>
  <c r="C3" i="35"/>
  <c r="B3" i="35"/>
  <c r="C2" i="35"/>
  <c r="C39" i="35" s="1"/>
  <c r="C1" i="35"/>
  <c r="C38" i="35" s="1"/>
  <c r="B1" i="35"/>
  <c r="B38" i="35" s="1"/>
  <c r="D26" i="34"/>
  <c r="D25" i="34"/>
  <c r="D27" i="34" s="1"/>
  <c r="D21" i="34"/>
  <c r="D20" i="34"/>
  <c r="D19" i="34"/>
  <c r="D22" i="34" s="1"/>
  <c r="D18" i="34"/>
  <c r="D17" i="34"/>
  <c r="D16" i="34"/>
  <c r="D14" i="34"/>
  <c r="D13" i="34"/>
  <c r="D15" i="34" s="1"/>
  <c r="D11" i="34"/>
  <c r="D10" i="34"/>
  <c r="D9" i="34"/>
  <c r="D7" i="34"/>
  <c r="D6" i="34"/>
  <c r="D5" i="34"/>
  <c r="D8" i="34" s="1"/>
  <c r="D12" i="34" s="1"/>
  <c r="D23" i="34" s="1"/>
  <c r="C3" i="34"/>
  <c r="C2" i="34"/>
  <c r="C1" i="34"/>
  <c r="D59" i="33"/>
  <c r="D58" i="33"/>
  <c r="C58" i="33"/>
  <c r="B58" i="33"/>
  <c r="A58" i="33"/>
  <c r="D56" i="33"/>
  <c r="D57" i="33" s="1"/>
  <c r="D54" i="33" s="1"/>
  <c r="D55" i="33"/>
  <c r="C55" i="33"/>
  <c r="B55" i="33"/>
  <c r="A55" i="33"/>
  <c r="C54" i="33"/>
  <c r="B54" i="33"/>
  <c r="A54" i="33"/>
  <c r="D53" i="33"/>
  <c r="C53" i="33"/>
  <c r="B53" i="33"/>
  <c r="A53" i="33"/>
  <c r="D52" i="33"/>
  <c r="C52" i="33"/>
  <c r="B52" i="33"/>
  <c r="A52" i="33"/>
  <c r="D51" i="33"/>
  <c r="C51" i="33"/>
  <c r="B51" i="33"/>
  <c r="A51" i="33"/>
  <c r="D50" i="33"/>
  <c r="C50" i="33"/>
  <c r="B50" i="33"/>
  <c r="A50" i="33"/>
  <c r="D48" i="33"/>
  <c r="D47" i="33"/>
  <c r="C47" i="33"/>
  <c r="B47" i="33"/>
  <c r="A47" i="33"/>
  <c r="D46" i="33"/>
  <c r="C46" i="33"/>
  <c r="B46" i="33"/>
  <c r="A46" i="33"/>
  <c r="D45" i="33"/>
  <c r="C45" i="33"/>
  <c r="B45" i="33"/>
  <c r="A45" i="33"/>
  <c r="D44" i="33"/>
  <c r="C44" i="33"/>
  <c r="B44" i="33"/>
  <c r="A44" i="33"/>
  <c r="D43" i="33"/>
  <c r="D49" i="33" s="1"/>
  <c r="C43" i="33"/>
  <c r="B43" i="33"/>
  <c r="A43" i="33"/>
  <c r="D42" i="33"/>
  <c r="C42" i="33"/>
  <c r="B42" i="33"/>
  <c r="A42" i="33"/>
  <c r="D41" i="33"/>
  <c r="C41" i="33"/>
  <c r="B41" i="33"/>
  <c r="A41" i="33"/>
  <c r="D40" i="33"/>
  <c r="C40" i="33"/>
  <c r="B40" i="33"/>
  <c r="A40" i="33"/>
  <c r="D39" i="33"/>
  <c r="C39" i="33"/>
  <c r="B39" i="33"/>
  <c r="A39" i="33"/>
  <c r="D38" i="33"/>
  <c r="C38" i="33"/>
  <c r="B38" i="33"/>
  <c r="A38" i="33"/>
  <c r="D37" i="33"/>
  <c r="C37" i="33"/>
  <c r="B37" i="33"/>
  <c r="A37" i="33"/>
  <c r="D36" i="33"/>
  <c r="C36" i="33"/>
  <c r="B36" i="33"/>
  <c r="A36" i="33"/>
  <c r="D35" i="33"/>
  <c r="C35" i="33"/>
  <c r="B35" i="33"/>
  <c r="A35" i="33"/>
  <c r="D34" i="33"/>
  <c r="C34" i="33"/>
  <c r="B34" i="33"/>
  <c r="A34" i="33"/>
  <c r="D33" i="33"/>
  <c r="C33" i="33"/>
  <c r="B33" i="33"/>
  <c r="A33" i="33"/>
  <c r="D32" i="33"/>
  <c r="C32" i="33"/>
  <c r="B32" i="33"/>
  <c r="A32" i="33"/>
  <c r="D31" i="33"/>
  <c r="C31" i="33"/>
  <c r="B31" i="33"/>
  <c r="A31" i="33"/>
  <c r="D30" i="33"/>
  <c r="C30" i="33"/>
  <c r="B30" i="33"/>
  <c r="A30" i="33"/>
  <c r="D29" i="33"/>
  <c r="C29" i="33"/>
  <c r="B29" i="33"/>
  <c r="A29" i="33"/>
  <c r="D25" i="33"/>
  <c r="D24" i="33"/>
  <c r="D23" i="33"/>
  <c r="D22" i="33"/>
  <c r="D21" i="33"/>
  <c r="D20" i="33"/>
  <c r="D19" i="33"/>
  <c r="D18" i="33"/>
  <c r="D14" i="33" s="1"/>
  <c r="D26" i="33" s="1"/>
  <c r="D17" i="33"/>
  <c r="D16" i="33"/>
  <c r="D15" i="33"/>
  <c r="D13" i="33"/>
  <c r="D12" i="33"/>
  <c r="D11" i="33"/>
  <c r="D10" i="33"/>
  <c r="D6" i="33" s="1"/>
  <c r="D9" i="33"/>
  <c r="D8" i="33"/>
  <c r="D7" i="33"/>
  <c r="D5" i="33"/>
  <c r="C3" i="33"/>
  <c r="C2" i="33"/>
  <c r="C1" i="33"/>
  <c r="C20" i="32"/>
  <c r="E20" i="32" s="1"/>
  <c r="F20" i="32" s="1"/>
  <c r="C19" i="32"/>
  <c r="E19" i="32" s="1"/>
  <c r="F19" i="32" s="1"/>
  <c r="E18" i="32"/>
  <c r="F18" i="32" s="1"/>
  <c r="C18" i="32"/>
  <c r="D17" i="32"/>
  <c r="C16" i="32"/>
  <c r="E16" i="32" s="1"/>
  <c r="F16" i="32" s="1"/>
  <c r="C15" i="32"/>
  <c r="E15" i="32" s="1"/>
  <c r="E17" i="32" s="1"/>
  <c r="C14" i="32"/>
  <c r="E14" i="32" s="1"/>
  <c r="F14" i="32" s="1"/>
  <c r="C13" i="32"/>
  <c r="E13" i="32" s="1"/>
  <c r="F13" i="32" s="1"/>
  <c r="C12" i="32"/>
  <c r="E12" i="32" s="1"/>
  <c r="F12" i="32" s="1"/>
  <c r="C11" i="32"/>
  <c r="E11" i="32" s="1"/>
  <c r="F11" i="32" s="1"/>
  <c r="C10" i="32"/>
  <c r="E10" i="32" s="1"/>
  <c r="F10" i="32" s="1"/>
  <c r="C9" i="32"/>
  <c r="E9" i="32" s="1"/>
  <c r="F9" i="32" s="1"/>
  <c r="C8" i="32"/>
  <c r="E8" i="32" s="1"/>
  <c r="F8" i="32" s="1"/>
  <c r="C7" i="32"/>
  <c r="E7" i="32" s="1"/>
  <c r="F7" i="32" s="1"/>
  <c r="C5" i="32"/>
  <c r="C4" i="32"/>
  <c r="C3" i="32"/>
  <c r="C2" i="32"/>
  <c r="E6" i="32" s="1"/>
  <c r="F6" i="32" s="1"/>
  <c r="C48" i="31"/>
  <c r="C45" i="31"/>
  <c r="C37" i="31"/>
  <c r="C36" i="31"/>
  <c r="C38" i="31" s="1"/>
  <c r="C39" i="31" s="1"/>
  <c r="C7" i="31" s="1"/>
  <c r="C35" i="31"/>
  <c r="C27" i="31"/>
  <c r="C18" i="31"/>
  <c r="B5" i="31"/>
  <c r="B4" i="31"/>
  <c r="B3" i="31"/>
  <c r="C26" i="29"/>
  <c r="C25" i="29"/>
  <c r="C19" i="29"/>
  <c r="C18" i="29"/>
  <c r="C20" i="29" s="1"/>
  <c r="D12" i="10"/>
  <c r="E13" i="10" s="1"/>
  <c r="F13" i="10" s="1"/>
  <c r="D15" i="28" s="1"/>
  <c r="D13" i="10"/>
  <c r="E76" i="28"/>
  <c r="C76" i="28"/>
  <c r="E71" i="28"/>
  <c r="C71" i="28"/>
  <c r="E65" i="28"/>
  <c r="C65" i="28"/>
  <c r="E58" i="28"/>
  <c r="C58" i="28"/>
  <c r="E49" i="28"/>
  <c r="C49" i="28"/>
  <c r="E40" i="28"/>
  <c r="C40" i="28"/>
  <c r="C30" i="37" l="1"/>
  <c r="C25" i="37"/>
  <c r="C15" i="37"/>
  <c r="C14" i="37"/>
  <c r="E19" i="36"/>
  <c r="F19" i="36" s="1"/>
  <c r="E21" i="36"/>
  <c r="E22" i="36" s="1"/>
  <c r="E20" i="36"/>
  <c r="F20" i="36" s="1"/>
  <c r="F17" i="36"/>
  <c r="F6" i="36"/>
  <c r="D31" i="36"/>
  <c r="F31" i="36" s="1"/>
  <c r="I65" i="35"/>
  <c r="I67" i="35" s="1"/>
  <c r="I68" i="35" s="1"/>
  <c r="H58" i="35"/>
  <c r="H60" i="35" s="1"/>
  <c r="D47" i="35" s="1"/>
  <c r="D48" i="35"/>
  <c r="D37" i="35"/>
  <c r="F6" i="35"/>
  <c r="F37" i="35" s="1"/>
  <c r="H48" i="35" s="1"/>
  <c r="D51" i="35" s="1"/>
  <c r="D54" i="35" s="1"/>
  <c r="D55" i="35" s="1"/>
  <c r="H53" i="35"/>
  <c r="D53" i="35" s="1"/>
  <c r="F13" i="35"/>
  <c r="D60" i="33"/>
  <c r="F26" i="33" s="1"/>
  <c r="F15" i="32"/>
  <c r="C77" i="28"/>
  <c r="C78" i="28" s="1"/>
  <c r="E77" i="28"/>
  <c r="E78" i="28" s="1"/>
  <c r="F4" i="2"/>
  <c r="F4" i="31" s="1"/>
  <c r="C6" i="2"/>
  <c r="C5" i="31" s="1"/>
  <c r="C5" i="2"/>
  <c r="C4" i="31" s="1"/>
  <c r="C4" i="2"/>
  <c r="C3" i="31" s="1"/>
  <c r="E2" i="10"/>
  <c r="C3" i="10"/>
  <c r="C2" i="10"/>
  <c r="C1" i="10"/>
  <c r="C3" i="9"/>
  <c r="C2" i="9"/>
  <c r="C1" i="9"/>
  <c r="C3" i="8"/>
  <c r="C2" i="8"/>
  <c r="C1" i="8"/>
  <c r="C16" i="29"/>
  <c r="C17" i="29"/>
  <c r="B31" i="27"/>
  <c r="B11" i="27"/>
  <c r="B5" i="27"/>
  <c r="E16" i="26"/>
  <c r="E15" i="26"/>
  <c r="E14" i="26"/>
  <c r="E13" i="26"/>
  <c r="E11" i="26"/>
  <c r="H45" i="2"/>
  <c r="H41" i="2"/>
  <c r="E41" i="2"/>
  <c r="C16" i="37" l="1"/>
  <c r="E23" i="36"/>
  <c r="F22" i="36"/>
  <c r="F21" i="36"/>
  <c r="D57" i="35"/>
  <c r="D58" i="35" s="1"/>
  <c r="D49" i="35"/>
  <c r="D56" i="35" s="1"/>
  <c r="C27" i="29"/>
  <c r="D46" i="28" s="1"/>
  <c r="C21" i="29"/>
  <c r="C22" i="29" s="1"/>
  <c r="D45" i="28" s="1"/>
  <c r="E17" i="26"/>
  <c r="E10" i="26"/>
  <c r="C17" i="26"/>
  <c r="D10" i="8"/>
  <c r="D2" i="10"/>
  <c r="B3" i="9"/>
  <c r="F4" i="13"/>
  <c r="B1" i="9"/>
  <c r="B38" i="9" s="1"/>
  <c r="E24" i="36" l="1"/>
  <c r="F23" i="36"/>
  <c r="C3" i="7"/>
  <c r="B5" i="13"/>
  <c r="B3" i="36" s="1"/>
  <c r="C48" i="13"/>
  <c r="C45" i="13"/>
  <c r="C37" i="13"/>
  <c r="C36" i="13"/>
  <c r="C35" i="13"/>
  <c r="C27" i="13"/>
  <c r="C18" i="13"/>
  <c r="C5" i="13"/>
  <c r="C4" i="13"/>
  <c r="C3" i="13"/>
  <c r="B4" i="13"/>
  <c r="B3" i="13"/>
  <c r="E6" i="10"/>
  <c r="E12" i="10" s="1"/>
  <c r="F12" i="10" s="1"/>
  <c r="D14" i="28" s="1"/>
  <c r="C9" i="26"/>
  <c r="B30" i="27"/>
  <c r="B32" i="27" s="1"/>
  <c r="B26" i="27"/>
  <c r="F19" i="26"/>
  <c r="D33" i="28"/>
  <c r="E140" i="2"/>
  <c r="F140" i="2" s="1"/>
  <c r="H140" i="2" s="1"/>
  <c r="E139" i="2"/>
  <c r="F139" i="2" s="1"/>
  <c r="H139" i="2" s="1"/>
  <c r="E138" i="2"/>
  <c r="F138" i="2" s="1"/>
  <c r="H138" i="2" s="1"/>
  <c r="E137" i="2"/>
  <c r="F137" i="2" s="1"/>
  <c r="H137" i="2" s="1"/>
  <c r="F136" i="2"/>
  <c r="H136" i="2" s="1"/>
  <c r="F129" i="2"/>
  <c r="H129" i="2" s="1"/>
  <c r="F127" i="2"/>
  <c r="H127" i="2" s="1"/>
  <c r="F128" i="2"/>
  <c r="H128" i="2" s="1"/>
  <c r="E106" i="2"/>
  <c r="F106" i="2" s="1"/>
  <c r="H106" i="2" s="1"/>
  <c r="H105" i="2"/>
  <c r="E68" i="2"/>
  <c r="F68" i="2" s="1"/>
  <c r="H68" i="2" s="1"/>
  <c r="E66" i="2"/>
  <c r="F66" i="2" s="1"/>
  <c r="H66" i="2" s="1"/>
  <c r="E65" i="2"/>
  <c r="F65" i="2" s="1"/>
  <c r="H65" i="2" s="1"/>
  <c r="E64" i="2"/>
  <c r="F64" i="2" s="1"/>
  <c r="H64" i="2" s="1"/>
  <c r="E119" i="2"/>
  <c r="F119" i="2" s="1"/>
  <c r="H119" i="2" s="1"/>
  <c r="E118" i="2"/>
  <c r="F118" i="2" s="1"/>
  <c r="D121" i="2"/>
  <c r="D120" i="2"/>
  <c r="E26" i="2"/>
  <c r="H120" i="2"/>
  <c r="J92" i="2"/>
  <c r="H92" i="2"/>
  <c r="F113" i="2"/>
  <c r="H113" i="2" s="1"/>
  <c r="F112" i="2"/>
  <c r="H112" i="2" s="1"/>
  <c r="F111" i="2"/>
  <c r="H111" i="2" s="1"/>
  <c r="F110" i="2"/>
  <c r="H110" i="2" s="1"/>
  <c r="D17" i="12"/>
  <c r="B1" i="33" l="1"/>
  <c r="B1" i="36"/>
  <c r="B2" i="36"/>
  <c r="B2" i="37"/>
  <c r="B2" i="35"/>
  <c r="B39" i="35" s="1"/>
  <c r="B2" i="33"/>
  <c r="E25" i="36"/>
  <c r="F24" i="36"/>
  <c r="F16" i="26"/>
  <c r="H16" i="26" s="1"/>
  <c r="E9" i="26"/>
  <c r="E12" i="26" s="1"/>
  <c r="E18" i="26" s="1"/>
  <c r="F21" i="26" s="1"/>
  <c r="C12" i="26"/>
  <c r="B1" i="10"/>
  <c r="B1" i="8"/>
  <c r="B2" i="9"/>
  <c r="B39" i="9" s="1"/>
  <c r="B2" i="8"/>
  <c r="B2" i="10"/>
  <c r="C38" i="9"/>
  <c r="C1" i="7"/>
  <c r="C39" i="9"/>
  <c r="C2" i="7"/>
  <c r="B3" i="10"/>
  <c r="I110" i="2"/>
  <c r="J110" i="2" s="1"/>
  <c r="K111" i="2" s="1"/>
  <c r="C38" i="13"/>
  <c r="C39" i="13" s="1"/>
  <c r="C7" i="13" s="1"/>
  <c r="H141" i="2"/>
  <c r="H131" i="2"/>
  <c r="H114" i="2"/>
  <c r="D122" i="2"/>
  <c r="H122" i="2" s="1"/>
  <c r="I135" i="2"/>
  <c r="I127" i="2"/>
  <c r="H118" i="2"/>
  <c r="E45" i="10"/>
  <c r="E44" i="10"/>
  <c r="D44" i="10"/>
  <c r="B2" i="7" l="1"/>
  <c r="B2" i="34"/>
  <c r="F41" i="13"/>
  <c r="F41" i="31"/>
  <c r="J127" i="2"/>
  <c r="K128" i="2" s="1"/>
  <c r="B1" i="7"/>
  <c r="B1" i="34"/>
  <c r="E26" i="36"/>
  <c r="F25" i="36"/>
  <c r="F15" i="26"/>
  <c r="H15" i="26" s="1"/>
  <c r="F14" i="26" s="1"/>
  <c r="H14" i="26" s="1"/>
  <c r="F13" i="26" s="1"/>
  <c r="H13" i="26" s="1"/>
  <c r="F11" i="26" s="1"/>
  <c r="H11" i="26" s="1"/>
  <c r="J135" i="2"/>
  <c r="K137" i="2" s="1"/>
  <c r="I118" i="2"/>
  <c r="J118" i="2" s="1"/>
  <c r="K119" i="2" s="1"/>
  <c r="F44" i="10"/>
  <c r="I141" i="2"/>
  <c r="H123" i="2"/>
  <c r="I131" i="2"/>
  <c r="I114" i="2"/>
  <c r="F43" i="13" l="1"/>
  <c r="F43" i="31"/>
  <c r="F42" i="13"/>
  <c r="F42" i="31"/>
  <c r="E44" i="13"/>
  <c r="E44" i="31"/>
  <c r="F44" i="13"/>
  <c r="F44" i="31"/>
  <c r="E41" i="13"/>
  <c r="E41" i="31"/>
  <c r="E43" i="13"/>
  <c r="E43" i="31"/>
  <c r="E27" i="36"/>
  <c r="F26" i="36"/>
  <c r="C18" i="12"/>
  <c r="E18" i="12" s="1"/>
  <c r="D38" i="28"/>
  <c r="F10" i="26"/>
  <c r="H10" i="26" s="1"/>
  <c r="I123" i="2"/>
  <c r="E42" i="13" l="1"/>
  <c r="E42" i="31"/>
  <c r="E30" i="36"/>
  <c r="F30" i="36" s="1"/>
  <c r="F27" i="36"/>
  <c r="H145" i="2"/>
  <c r="F9" i="26"/>
  <c r="H9" i="26" s="1"/>
  <c r="F18" i="12"/>
  <c r="J145" i="2" s="1"/>
  <c r="I145" i="2"/>
  <c r="E46" i="13" l="1"/>
  <c r="E46" i="31"/>
  <c r="E48" i="31" s="1"/>
  <c r="F46" i="13"/>
  <c r="F46" i="31"/>
  <c r="D46" i="13"/>
  <c r="D46" i="31"/>
  <c r="C53" i="9"/>
  <c r="B53" i="9"/>
  <c r="C52" i="9"/>
  <c r="B52" i="9"/>
  <c r="C45" i="9"/>
  <c r="B45" i="9"/>
  <c r="C44" i="9"/>
  <c r="B44" i="9"/>
  <c r="C43" i="9"/>
  <c r="B43" i="9"/>
  <c r="C42" i="9"/>
  <c r="B42" i="9"/>
  <c r="D41" i="9"/>
  <c r="C41" i="9"/>
  <c r="B41" i="9"/>
  <c r="D55" i="8"/>
  <c r="D32" i="9" s="1"/>
  <c r="F32" i="9" s="1"/>
  <c r="D58" i="8"/>
  <c r="D35" i="9" s="1"/>
  <c r="F35" i="9" s="1"/>
  <c r="C58" i="8"/>
  <c r="C35" i="9" s="1"/>
  <c r="B58" i="8"/>
  <c r="B35" i="9" s="1"/>
  <c r="A58" i="8"/>
  <c r="A35" i="9" s="1"/>
  <c r="C55" i="8"/>
  <c r="C32" i="9" s="1"/>
  <c r="B55" i="8"/>
  <c r="B32" i="9" s="1"/>
  <c r="A55" i="8"/>
  <c r="A32" i="9" s="1"/>
  <c r="C54" i="8"/>
  <c r="C31" i="9" s="1"/>
  <c r="B54" i="8"/>
  <c r="B31" i="9" s="1"/>
  <c r="A54" i="8"/>
  <c r="A31" i="9" s="1"/>
  <c r="D53" i="8"/>
  <c r="D30" i="9" s="1"/>
  <c r="F30" i="9" s="1"/>
  <c r="C53" i="8"/>
  <c r="C30" i="9" s="1"/>
  <c r="B53" i="8"/>
  <c r="B30" i="9" s="1"/>
  <c r="A53" i="8"/>
  <c r="A30" i="9" s="1"/>
  <c r="D52" i="8"/>
  <c r="H56" i="9" s="1"/>
  <c r="C52" i="8"/>
  <c r="C29" i="9" s="1"/>
  <c r="B52" i="8"/>
  <c r="B29" i="9" s="1"/>
  <c r="A52" i="8"/>
  <c r="A29" i="9" s="1"/>
  <c r="C51" i="8"/>
  <c r="C28" i="9" s="1"/>
  <c r="B51" i="8"/>
  <c r="B28" i="9" s="1"/>
  <c r="A51" i="8"/>
  <c r="A28" i="9" s="1"/>
  <c r="D50" i="8"/>
  <c r="D27" i="9" s="1"/>
  <c r="F27" i="9" s="1"/>
  <c r="C50" i="8"/>
  <c r="C27" i="9" s="1"/>
  <c r="B50" i="8"/>
  <c r="B27" i="9" s="1"/>
  <c r="A50" i="8"/>
  <c r="A27" i="9" s="1"/>
  <c r="A25" i="9"/>
  <c r="D47" i="8"/>
  <c r="D24" i="9" s="1"/>
  <c r="C47" i="8"/>
  <c r="C24" i="9" s="1"/>
  <c r="B47" i="8"/>
  <c r="B24" i="9" s="1"/>
  <c r="A47" i="8"/>
  <c r="A24" i="9" s="1"/>
  <c r="D46" i="8"/>
  <c r="D23" i="9" s="1"/>
  <c r="C46" i="8"/>
  <c r="C23" i="9" s="1"/>
  <c r="B46" i="8"/>
  <c r="B23" i="9" s="1"/>
  <c r="A46" i="8"/>
  <c r="A23" i="9" s="1"/>
  <c r="D45" i="8"/>
  <c r="D22" i="9" s="1"/>
  <c r="C45" i="8"/>
  <c r="C22" i="9" s="1"/>
  <c r="B45" i="8"/>
  <c r="B22" i="9" s="1"/>
  <c r="A45" i="8"/>
  <c r="A22" i="9" s="1"/>
  <c r="D44" i="8"/>
  <c r="D21" i="9" s="1"/>
  <c r="F21" i="9" s="1"/>
  <c r="C44" i="8"/>
  <c r="C21" i="9" s="1"/>
  <c r="B44" i="8"/>
  <c r="B21" i="9" s="1"/>
  <c r="A44" i="8"/>
  <c r="A21" i="9" s="1"/>
  <c r="C43" i="8"/>
  <c r="C20" i="9" s="1"/>
  <c r="B43" i="8"/>
  <c r="B20" i="9" s="1"/>
  <c r="A43" i="8"/>
  <c r="A20" i="9" s="1"/>
  <c r="D42" i="8"/>
  <c r="D22" i="10" s="1"/>
  <c r="C42" i="8"/>
  <c r="C19" i="9" s="1"/>
  <c r="B42" i="8"/>
  <c r="B19" i="9" s="1"/>
  <c r="A42" i="8"/>
  <c r="A19" i="9" s="1"/>
  <c r="D41" i="8"/>
  <c r="C41" i="8"/>
  <c r="C18" i="9" s="1"/>
  <c r="B41" i="8"/>
  <c r="B18" i="9" s="1"/>
  <c r="A41" i="8"/>
  <c r="A18" i="9" s="1"/>
  <c r="D40" i="8"/>
  <c r="D17" i="9" s="1"/>
  <c r="F17" i="9" s="1"/>
  <c r="C40" i="8"/>
  <c r="C17" i="9" s="1"/>
  <c r="B40" i="8"/>
  <c r="B17" i="9" s="1"/>
  <c r="A40" i="8"/>
  <c r="A17" i="9" s="1"/>
  <c r="D39" i="8"/>
  <c r="D16" i="9" s="1"/>
  <c r="F16" i="9" s="1"/>
  <c r="C39" i="8"/>
  <c r="C16" i="9" s="1"/>
  <c r="B39" i="8"/>
  <c r="B16" i="9" s="1"/>
  <c r="A39" i="8"/>
  <c r="A16" i="9" s="1"/>
  <c r="D38" i="8"/>
  <c r="D15" i="9" s="1"/>
  <c r="F15" i="9" s="1"/>
  <c r="C38" i="8"/>
  <c r="C15" i="9" s="1"/>
  <c r="B38" i="8"/>
  <c r="B15" i="9" s="1"/>
  <c r="A38" i="8"/>
  <c r="A15" i="9" s="1"/>
  <c r="D37" i="8"/>
  <c r="D14" i="9" s="1"/>
  <c r="F14" i="9" s="1"/>
  <c r="C37" i="8"/>
  <c r="C14" i="9" s="1"/>
  <c r="B37" i="8"/>
  <c r="B14" i="9" s="1"/>
  <c r="A37" i="8"/>
  <c r="A14" i="9" s="1"/>
  <c r="D36" i="8"/>
  <c r="D13" i="9" s="1"/>
  <c r="C36" i="8"/>
  <c r="C13" i="9" s="1"/>
  <c r="B36" i="8"/>
  <c r="B13" i="9" s="1"/>
  <c r="A36" i="8"/>
  <c r="A13" i="9" s="1"/>
  <c r="C35" i="8"/>
  <c r="C12" i="9" s="1"/>
  <c r="B35" i="8"/>
  <c r="B12" i="9" s="1"/>
  <c r="A35" i="8"/>
  <c r="A12" i="9" s="1"/>
  <c r="D34" i="8"/>
  <c r="D11" i="9" s="1"/>
  <c r="F11" i="9" s="1"/>
  <c r="C34" i="8"/>
  <c r="C11" i="9" s="1"/>
  <c r="B34" i="8"/>
  <c r="B11" i="9" s="1"/>
  <c r="A34" i="8"/>
  <c r="A11" i="9" s="1"/>
  <c r="D33" i="8"/>
  <c r="D10" i="9" s="1"/>
  <c r="F10" i="9" s="1"/>
  <c r="C33" i="8"/>
  <c r="C10" i="9" s="1"/>
  <c r="B33" i="8"/>
  <c r="B10" i="9" s="1"/>
  <c r="A33" i="8"/>
  <c r="A10" i="9" s="1"/>
  <c r="D32" i="8"/>
  <c r="D9" i="9" s="1"/>
  <c r="F9" i="9" s="1"/>
  <c r="C32" i="8"/>
  <c r="C9" i="9" s="1"/>
  <c r="B32" i="8"/>
  <c r="B9" i="9" s="1"/>
  <c r="A32" i="8"/>
  <c r="A9" i="9" s="1"/>
  <c r="D31" i="8"/>
  <c r="D8" i="9" s="1"/>
  <c r="F8" i="9" s="1"/>
  <c r="C31" i="8"/>
  <c r="C8" i="9" s="1"/>
  <c r="B31" i="8"/>
  <c r="B8" i="9" s="1"/>
  <c r="A31" i="8"/>
  <c r="A8" i="9" s="1"/>
  <c r="C30" i="8"/>
  <c r="C7" i="9" s="1"/>
  <c r="B30" i="8"/>
  <c r="B7" i="9" s="1"/>
  <c r="A30" i="8"/>
  <c r="A7" i="9" s="1"/>
  <c r="D29" i="8"/>
  <c r="D42" i="10" s="1"/>
  <c r="C29" i="8"/>
  <c r="C6" i="9" s="1"/>
  <c r="B29" i="8"/>
  <c r="B6" i="9" s="1"/>
  <c r="A29" i="8"/>
  <c r="A6" i="9" s="1"/>
  <c r="E10" i="10"/>
  <c r="E9" i="10"/>
  <c r="E8" i="10"/>
  <c r="E7" i="10"/>
  <c r="F31" i="9"/>
  <c r="D36" i="9"/>
  <c r="F36" i="9" s="1"/>
  <c r="C34" i="9"/>
  <c r="C33" i="9"/>
  <c r="C26" i="9"/>
  <c r="C25" i="9"/>
  <c r="B34" i="9"/>
  <c r="B33" i="9"/>
  <c r="B26" i="9"/>
  <c r="A34" i="9"/>
  <c r="A33" i="9"/>
  <c r="A26" i="9"/>
  <c r="D5" i="8"/>
  <c r="C2" i="29" s="1"/>
  <c r="D11" i="8"/>
  <c r="D52" i="9"/>
  <c r="D9" i="8"/>
  <c r="H52" i="9" s="1"/>
  <c r="D8" i="8"/>
  <c r="D7" i="8"/>
  <c r="C3" i="29" s="1"/>
  <c r="D18" i="8"/>
  <c r="D17" i="8"/>
  <c r="D16" i="8"/>
  <c r="D15" i="8"/>
  <c r="C6" i="29" s="1"/>
  <c r="D21" i="8"/>
  <c r="D20" i="8"/>
  <c r="D22" i="8"/>
  <c r="D25" i="8"/>
  <c r="D24" i="8"/>
  <c r="D59" i="8"/>
  <c r="D26" i="7"/>
  <c r="D29" i="10"/>
  <c r="D21" i="7"/>
  <c r="D20" i="7"/>
  <c r="D19" i="7"/>
  <c r="D18" i="7"/>
  <c r="D17" i="7"/>
  <c r="D16" i="7"/>
  <c r="D14" i="7"/>
  <c r="D13" i="7"/>
  <c r="D10" i="7"/>
  <c r="D37" i="10" s="1"/>
  <c r="D9" i="7"/>
  <c r="D36" i="10" s="1"/>
  <c r="D7" i="7"/>
  <c r="D35" i="10" s="1"/>
  <c r="D6" i="7"/>
  <c r="D34" i="10" s="1"/>
  <c r="D5" i="7"/>
  <c r="D33" i="10" s="1"/>
  <c r="D44" i="9" l="1"/>
  <c r="C4" i="29"/>
  <c r="C5" i="29"/>
  <c r="D56" i="8"/>
  <c r="D57" i="8" s="1"/>
  <c r="D54" i="8" s="1"/>
  <c r="D31" i="9" s="1"/>
  <c r="D6" i="9"/>
  <c r="F6" i="9" s="1"/>
  <c r="D38" i="10"/>
  <c r="D43" i="9"/>
  <c r="H57" i="9" s="1"/>
  <c r="D21" i="10"/>
  <c r="D42" i="9"/>
  <c r="E29" i="10"/>
  <c r="F29" i="10" s="1"/>
  <c r="D25" i="10"/>
  <c r="D29" i="9"/>
  <c r="F29" i="9" s="1"/>
  <c r="F13" i="9"/>
  <c r="D20" i="10"/>
  <c r="D18" i="9"/>
  <c r="F18" i="9" s="1"/>
  <c r="D19" i="9"/>
  <c r="F19" i="9" s="1"/>
  <c r="E11" i="10"/>
  <c r="D19" i="8"/>
  <c r="C10" i="29" s="1"/>
  <c r="D14" i="8"/>
  <c r="C7" i="29" s="1"/>
  <c r="C8" i="29" s="1"/>
  <c r="D50" i="9"/>
  <c r="D25" i="9"/>
  <c r="D26" i="9" s="1"/>
  <c r="F26" i="9" s="1"/>
  <c r="D15" i="7"/>
  <c r="D8" i="7"/>
  <c r="D22" i="7"/>
  <c r="D11" i="7"/>
  <c r="I31" i="6"/>
  <c r="I28" i="6"/>
  <c r="I25" i="6"/>
  <c r="D51" i="8" s="1"/>
  <c r="D28" i="9" s="1"/>
  <c r="F28" i="9" s="1"/>
  <c r="I19" i="6"/>
  <c r="D43" i="8" s="1"/>
  <c r="B21" i="27" s="1"/>
  <c r="I11" i="6"/>
  <c r="D35" i="8" s="1"/>
  <c r="E35" i="10" s="1"/>
  <c r="F35" i="10" s="1"/>
  <c r="D30" i="28" s="1"/>
  <c r="I6" i="6"/>
  <c r="B27" i="27" s="1"/>
  <c r="B28" i="27" s="1"/>
  <c r="D33" i="6"/>
  <c r="D27" i="6"/>
  <c r="D23" i="6"/>
  <c r="D18" i="6"/>
  <c r="B25" i="27" s="1"/>
  <c r="B33" i="27" s="1"/>
  <c r="B34" i="27" s="1"/>
  <c r="B35" i="27" s="1"/>
  <c r="D12" i="6"/>
  <c r="C9" i="29" l="1"/>
  <c r="C12" i="29" s="1"/>
  <c r="C11" i="29"/>
  <c r="C13" i="12"/>
  <c r="E13" i="12" s="1"/>
  <c r="D25" i="28"/>
  <c r="B29" i="27"/>
  <c r="B36" i="27" s="1"/>
  <c r="F41" i="10" s="1"/>
  <c r="D30" i="8"/>
  <c r="D18" i="10" s="1"/>
  <c r="H86" i="2"/>
  <c r="D29" i="31" s="1"/>
  <c r="D33" i="9"/>
  <c r="F33" i="9" s="1"/>
  <c r="D34" i="9"/>
  <c r="F34" i="9" s="1"/>
  <c r="D16" i="10"/>
  <c r="E33" i="10"/>
  <c r="F33" i="10" s="1"/>
  <c r="D28" i="28" s="1"/>
  <c r="D23" i="10"/>
  <c r="E36" i="10"/>
  <c r="F36" i="10" s="1"/>
  <c r="D31" i="28" s="1"/>
  <c r="D19" i="10"/>
  <c r="D24" i="10"/>
  <c r="E37" i="10"/>
  <c r="F37" i="10" s="1"/>
  <c r="D32" i="28" s="1"/>
  <c r="D20" i="9"/>
  <c r="D30" i="10"/>
  <c r="E31" i="10" s="1"/>
  <c r="E14" i="10"/>
  <c r="F37" i="9"/>
  <c r="H48" i="9" s="1"/>
  <c r="D12" i="9"/>
  <c r="D17" i="10"/>
  <c r="D12" i="7"/>
  <c r="D23" i="7" s="1"/>
  <c r="I40" i="6"/>
  <c r="D40" i="6"/>
  <c r="F67" i="2"/>
  <c r="H67" i="2" s="1"/>
  <c r="D54" i="2"/>
  <c r="E50" i="2"/>
  <c r="F50" i="2" s="1"/>
  <c r="H50" i="2" s="1"/>
  <c r="E51" i="2"/>
  <c r="F51" i="2" s="1"/>
  <c r="H51" i="2" s="1"/>
  <c r="H44" i="2"/>
  <c r="H43" i="2"/>
  <c r="H42" i="2"/>
  <c r="E37" i="2"/>
  <c r="F37" i="2" s="1"/>
  <c r="H37" i="2" s="1"/>
  <c r="E36" i="2"/>
  <c r="F36" i="2" s="1"/>
  <c r="H36" i="2" s="1"/>
  <c r="H35" i="2"/>
  <c r="E34" i="2"/>
  <c r="F33" i="2"/>
  <c r="H33" i="2" s="1"/>
  <c r="F22" i="2"/>
  <c r="H22" i="2" s="1"/>
  <c r="H26" i="2"/>
  <c r="H27" i="2"/>
  <c r="F24" i="2"/>
  <c r="H24" i="2" s="1"/>
  <c r="F23" i="2"/>
  <c r="H23" i="2" s="1"/>
  <c r="F18" i="2"/>
  <c r="H18" i="2" s="1"/>
  <c r="F17" i="2"/>
  <c r="H17" i="2" s="1"/>
  <c r="F16" i="2"/>
  <c r="H16" i="2" s="1"/>
  <c r="F15" i="2"/>
  <c r="H15" i="2" s="1"/>
  <c r="F14" i="2"/>
  <c r="H14" i="2" s="1"/>
  <c r="F13" i="2"/>
  <c r="H13" i="2" s="1"/>
  <c r="F12" i="2"/>
  <c r="H12" i="2" s="1"/>
  <c r="F11" i="2"/>
  <c r="H11" i="2" s="1"/>
  <c r="F10" i="2"/>
  <c r="H10" i="2" s="1"/>
  <c r="H85" i="2" l="1"/>
  <c r="F40" i="6"/>
  <c r="C13" i="29"/>
  <c r="D44" i="28" s="1"/>
  <c r="C15" i="12"/>
  <c r="H95" i="2" s="1"/>
  <c r="D36" i="28"/>
  <c r="E34" i="10"/>
  <c r="F34" i="10" s="1"/>
  <c r="D29" i="28" s="1"/>
  <c r="I10" i="2"/>
  <c r="D7" i="9"/>
  <c r="D37" i="9" s="1"/>
  <c r="I86" i="2"/>
  <c r="D29" i="13"/>
  <c r="D25" i="7"/>
  <c r="D27" i="7" s="1"/>
  <c r="D12" i="8"/>
  <c r="D23" i="8" s="1"/>
  <c r="D102" i="2"/>
  <c r="H102" i="2" s="1"/>
  <c r="D55" i="2"/>
  <c r="H55" i="2" s="1"/>
  <c r="I50" i="2" s="1"/>
  <c r="J50" i="2" s="1"/>
  <c r="K53" i="2" s="1"/>
  <c r="H69" i="2"/>
  <c r="I61" i="2"/>
  <c r="H46" i="2"/>
  <c r="H19" i="2"/>
  <c r="H29" i="2"/>
  <c r="F13" i="12"/>
  <c r="J85" i="2" s="1"/>
  <c r="I85" i="2"/>
  <c r="D6" i="10"/>
  <c r="D48" i="8"/>
  <c r="D49" i="8" s="1"/>
  <c r="D60" i="8" s="1"/>
  <c r="H49" i="9"/>
  <c r="D51" i="9" s="1"/>
  <c r="H53" i="9" s="1"/>
  <c r="D53" i="9" s="1"/>
  <c r="D54" i="9" s="1"/>
  <c r="D55" i="9" s="1"/>
  <c r="G59" i="6"/>
  <c r="I41" i="2"/>
  <c r="F34" i="2"/>
  <c r="H34" i="2" s="1"/>
  <c r="I33" i="2" s="1"/>
  <c r="J33" i="2" s="1"/>
  <c r="I22" i="2"/>
  <c r="J22" i="2" s="1"/>
  <c r="K26" i="2" s="1"/>
  <c r="J10" i="2" l="1"/>
  <c r="K14" i="2" s="1"/>
  <c r="E28" i="13"/>
  <c r="E28" i="31"/>
  <c r="E35" i="31" s="1"/>
  <c r="F16" i="13"/>
  <c r="F16" i="31"/>
  <c r="D36" i="13"/>
  <c r="D36" i="31"/>
  <c r="J61" i="2"/>
  <c r="K64" i="2" s="1"/>
  <c r="F13" i="13"/>
  <c r="F13" i="31"/>
  <c r="F28" i="13"/>
  <c r="F28" i="31"/>
  <c r="E29" i="13"/>
  <c r="E29" i="31"/>
  <c r="D28" i="13"/>
  <c r="D28" i="31"/>
  <c r="J41" i="2"/>
  <c r="K43" i="2" s="1"/>
  <c r="E15" i="12"/>
  <c r="I95" i="2" s="1"/>
  <c r="D7" i="10"/>
  <c r="F7" i="10" s="1"/>
  <c r="C3" i="12" s="1"/>
  <c r="F6" i="10"/>
  <c r="C2" i="12" s="1"/>
  <c r="J86" i="2"/>
  <c r="I100" i="2"/>
  <c r="J100" i="2" s="1"/>
  <c r="H107" i="2"/>
  <c r="H57" i="2"/>
  <c r="I57" i="2"/>
  <c r="I69" i="2"/>
  <c r="I46" i="2"/>
  <c r="K35" i="2"/>
  <c r="I38" i="2"/>
  <c r="H38" i="2"/>
  <c r="I19" i="2"/>
  <c r="I29" i="2"/>
  <c r="D13" i="8"/>
  <c r="D27" i="10" s="1"/>
  <c r="D31" i="10" s="1"/>
  <c r="F31" i="10" s="1"/>
  <c r="D27" i="28" s="1"/>
  <c r="D39" i="10"/>
  <c r="D45" i="10"/>
  <c r="F45" i="10" s="1"/>
  <c r="I66" i="9"/>
  <c r="E42" i="10"/>
  <c r="F42" i="10" s="1"/>
  <c r="E38" i="10"/>
  <c r="F17" i="13" l="1"/>
  <c r="F17" i="31"/>
  <c r="F12" i="13"/>
  <c r="F12" i="31"/>
  <c r="E36" i="13"/>
  <c r="E36" i="31"/>
  <c r="E38" i="31" s="1"/>
  <c r="E39" i="31" s="1"/>
  <c r="F29" i="13"/>
  <c r="F29" i="31"/>
  <c r="E16" i="13"/>
  <c r="E16" i="31"/>
  <c r="F15" i="13"/>
  <c r="F15" i="31"/>
  <c r="E15" i="13"/>
  <c r="E15" i="31"/>
  <c r="E17" i="13"/>
  <c r="E17" i="31"/>
  <c r="E13" i="13"/>
  <c r="E13" i="31"/>
  <c r="E12" i="13"/>
  <c r="E12" i="31"/>
  <c r="E14" i="13"/>
  <c r="E14" i="31"/>
  <c r="F14" i="13"/>
  <c r="F14" i="31"/>
  <c r="C16" i="12"/>
  <c r="E16" i="12" s="1"/>
  <c r="I96" i="2" s="1"/>
  <c r="E37" i="31" s="1"/>
  <c r="D37" i="28"/>
  <c r="C19" i="12"/>
  <c r="H146" i="2" s="1"/>
  <c r="D39" i="28"/>
  <c r="F15" i="12"/>
  <c r="J95" i="2" s="1"/>
  <c r="H87" i="2"/>
  <c r="D10" i="28"/>
  <c r="H88" i="2"/>
  <c r="D11" i="28"/>
  <c r="D8" i="10"/>
  <c r="F8" i="10" s="1"/>
  <c r="C4" i="12" s="1"/>
  <c r="I107" i="2"/>
  <c r="K102" i="2"/>
  <c r="D6" i="8"/>
  <c r="D45" i="9"/>
  <c r="D46" i="9" s="1"/>
  <c r="I65" i="9" s="1"/>
  <c r="I67" i="9" s="1"/>
  <c r="I68" i="9" s="1"/>
  <c r="E39" i="10"/>
  <c r="F39" i="10" s="1"/>
  <c r="D35" i="28" s="1"/>
  <c r="F38" i="10"/>
  <c r="E16" i="10"/>
  <c r="F16" i="10" s="1"/>
  <c r="E17" i="10"/>
  <c r="E18" i="13" l="1"/>
  <c r="E18" i="31"/>
  <c r="D31" i="13"/>
  <c r="D31" i="31"/>
  <c r="F40" i="13"/>
  <c r="F40" i="31"/>
  <c r="F36" i="13"/>
  <c r="F36" i="31"/>
  <c r="D47" i="13"/>
  <c r="D47" i="31"/>
  <c r="D32" i="13"/>
  <c r="D32" i="31"/>
  <c r="E40" i="13"/>
  <c r="E45" i="13" s="1"/>
  <c r="E40" i="31"/>
  <c r="E45" i="31" s="1"/>
  <c r="E19" i="12"/>
  <c r="I146" i="2" s="1"/>
  <c r="E47" i="31" s="1"/>
  <c r="H96" i="2"/>
  <c r="C14" i="12"/>
  <c r="H80" i="2" s="1"/>
  <c r="D34" i="28"/>
  <c r="H89" i="2"/>
  <c r="D12" i="28"/>
  <c r="I97" i="2"/>
  <c r="E37" i="13"/>
  <c r="E38" i="13" s="1"/>
  <c r="E39" i="13" s="1"/>
  <c r="E17" i="12"/>
  <c r="F16" i="12"/>
  <c r="J96" i="2" s="1"/>
  <c r="D49" i="9"/>
  <c r="D56" i="9" s="1"/>
  <c r="C20" i="12" s="1"/>
  <c r="E20" i="12" s="1"/>
  <c r="H58" i="9"/>
  <c r="H60" i="9" s="1"/>
  <c r="D47" i="9" s="1"/>
  <c r="D48" i="9" s="1"/>
  <c r="D57" i="9" s="1"/>
  <c r="D58" i="9" s="1"/>
  <c r="D26" i="10"/>
  <c r="D26" i="8"/>
  <c r="E18" i="10"/>
  <c r="F17" i="10"/>
  <c r="D33" i="13" l="1"/>
  <c r="D33" i="31"/>
  <c r="D26" i="13"/>
  <c r="D26" i="31"/>
  <c r="F37" i="13"/>
  <c r="F38" i="13" s="1"/>
  <c r="F37" i="31"/>
  <c r="F38" i="31" s="1"/>
  <c r="D37" i="13"/>
  <c r="D37" i="31"/>
  <c r="F19" i="12"/>
  <c r="J146" i="2" s="1"/>
  <c r="E14" i="12"/>
  <c r="F14" i="12" s="1"/>
  <c r="J80" i="2" s="1"/>
  <c r="D14" i="10"/>
  <c r="F14" i="10" s="1"/>
  <c r="F26" i="8"/>
  <c r="C8" i="12"/>
  <c r="H75" i="2" s="1"/>
  <c r="D17" i="28"/>
  <c r="D9" i="10"/>
  <c r="F9" i="10" s="1"/>
  <c r="I147" i="2"/>
  <c r="E47" i="13"/>
  <c r="E48" i="13" s="1"/>
  <c r="H73" i="2"/>
  <c r="I73" i="2"/>
  <c r="E19" i="31" s="1"/>
  <c r="E27" i="31" s="1"/>
  <c r="C8" i="31" s="1"/>
  <c r="C9" i="31" s="1"/>
  <c r="F20" i="12"/>
  <c r="J73" i="2" s="1"/>
  <c r="E19" i="10"/>
  <c r="F19" i="10" s="1"/>
  <c r="D19" i="28" s="1"/>
  <c r="E21" i="10"/>
  <c r="E20" i="10"/>
  <c r="F20" i="10" s="1"/>
  <c r="F18" i="10"/>
  <c r="D18" i="28" s="1"/>
  <c r="F47" i="13" l="1"/>
  <c r="F47" i="31"/>
  <c r="D21" i="13"/>
  <c r="D21" i="31"/>
  <c r="F19" i="13"/>
  <c r="F19" i="31"/>
  <c r="D19" i="13"/>
  <c r="D19" i="31"/>
  <c r="F26" i="13"/>
  <c r="F26" i="31"/>
  <c r="I80" i="2"/>
  <c r="E8" i="12"/>
  <c r="F8" i="12" s="1"/>
  <c r="J75" i="2" s="1"/>
  <c r="C7" i="12"/>
  <c r="E7" i="12" s="1"/>
  <c r="D16" i="28"/>
  <c r="D10" i="10"/>
  <c r="F10" i="10" s="1"/>
  <c r="E19" i="13"/>
  <c r="F21" i="10"/>
  <c r="C9" i="12" s="1"/>
  <c r="E22" i="10"/>
  <c r="E26" i="13" l="1"/>
  <c r="E26" i="31"/>
  <c r="F21" i="13"/>
  <c r="F21" i="31"/>
  <c r="H74" i="2"/>
  <c r="D11" i="10"/>
  <c r="F11" i="10" s="1"/>
  <c r="C5" i="12" s="1"/>
  <c r="D13" i="28" s="1"/>
  <c r="I74" i="2"/>
  <c r="E20" i="31" s="1"/>
  <c r="F7" i="12"/>
  <c r="J74" i="2" s="1"/>
  <c r="E9" i="12"/>
  <c r="H76" i="2"/>
  <c r="E23" i="10"/>
  <c r="F22" i="10"/>
  <c r="D20" i="28" s="1"/>
  <c r="F20" i="13" l="1"/>
  <c r="F20" i="31"/>
  <c r="D22" i="13"/>
  <c r="D22" i="31"/>
  <c r="D20" i="13"/>
  <c r="D20" i="31"/>
  <c r="H90" i="2"/>
  <c r="E6" i="12"/>
  <c r="F6" i="12" s="1"/>
  <c r="J91" i="2" s="1"/>
  <c r="E20" i="13"/>
  <c r="I76" i="2"/>
  <c r="F9" i="12"/>
  <c r="J76" i="2" s="1"/>
  <c r="E24" i="10"/>
  <c r="F23" i="10"/>
  <c r="F30" i="13" l="1"/>
  <c r="F30" i="31"/>
  <c r="D34" i="13"/>
  <c r="D34" i="31"/>
  <c r="F22" i="13"/>
  <c r="F22" i="31"/>
  <c r="E22" i="13"/>
  <c r="E22" i="31"/>
  <c r="C10" i="12"/>
  <c r="E10" i="12" s="1"/>
  <c r="D21" i="28"/>
  <c r="I91" i="2"/>
  <c r="E25" i="10"/>
  <c r="F24" i="10"/>
  <c r="I92" i="2" l="1"/>
  <c r="E30" i="31"/>
  <c r="C11" i="12"/>
  <c r="H78" i="2" s="1"/>
  <c r="D22" i="28"/>
  <c r="H77" i="2"/>
  <c r="E30" i="13"/>
  <c r="E35" i="13" s="1"/>
  <c r="I77" i="2"/>
  <c r="F10" i="12"/>
  <c r="J77" i="2" s="1"/>
  <c r="E26" i="10"/>
  <c r="F25" i="10"/>
  <c r="E23" i="13" l="1"/>
  <c r="E23" i="31"/>
  <c r="D24" i="13"/>
  <c r="D24" i="31"/>
  <c r="D23" i="13"/>
  <c r="D23" i="31"/>
  <c r="F23" i="13"/>
  <c r="F23" i="31"/>
  <c r="E11" i="12"/>
  <c r="I78" i="2" s="1"/>
  <c r="C12" i="12"/>
  <c r="E12" i="12" s="1"/>
  <c r="D23" i="28"/>
  <c r="E27" i="10"/>
  <c r="F26" i="10"/>
  <c r="E24" i="13" l="1"/>
  <c r="E24" i="31"/>
  <c r="H79" i="2"/>
  <c r="I75" i="2"/>
  <c r="F11" i="12"/>
  <c r="J78" i="2" s="1"/>
  <c r="I79" i="2"/>
  <c r="F12" i="12"/>
  <c r="J79" i="2" s="1"/>
  <c r="F27" i="10"/>
  <c r="D24" i="28" s="1"/>
  <c r="E30" i="10"/>
  <c r="F30" i="10" s="1"/>
  <c r="D26" i="28" s="1"/>
  <c r="D25" i="13" l="1"/>
  <c r="D25" i="31"/>
  <c r="E21" i="13"/>
  <c r="E21" i="31"/>
  <c r="F25" i="13"/>
  <c r="G8" i="13" s="1"/>
  <c r="F25" i="31"/>
  <c r="G7" i="31" s="1"/>
  <c r="E25" i="13"/>
  <c r="E25" i="31"/>
  <c r="F24" i="13"/>
  <c r="F24" i="31"/>
  <c r="I81" i="2"/>
  <c r="G7" i="13"/>
  <c r="G6" i="13"/>
  <c r="G9" i="13"/>
  <c r="E27" i="13"/>
  <c r="C8" i="13" s="1"/>
  <c r="C9" i="13" s="1"/>
  <c r="G6" i="31" l="1"/>
  <c r="G9" i="31"/>
  <c r="G8" i="31"/>
  <c r="G10" i="13"/>
  <c r="G10" i="31" l="1"/>
</calcChain>
</file>

<file path=xl/sharedStrings.xml><?xml version="1.0" encoding="utf-8"?>
<sst xmlns="http://schemas.openxmlformats.org/spreadsheetml/2006/main" count="1523" uniqueCount="769">
  <si>
    <t>संस्थाको नाम</t>
  </si>
  <si>
    <t xml:space="preserve">जिल्ला </t>
  </si>
  <si>
    <t xml:space="preserve">सदस्यता नम्बर </t>
  </si>
  <si>
    <t>कानुनी जोखिम</t>
  </si>
  <si>
    <t xml:space="preserve">कोपोमिस मासिक प्रतिवेदन दाखिला </t>
  </si>
  <si>
    <t xml:space="preserve">हुनुपर्ने </t>
  </si>
  <si>
    <t xml:space="preserve">भएको </t>
  </si>
  <si>
    <t>Risk per Unit</t>
  </si>
  <si>
    <t xml:space="preserve">नभएको </t>
  </si>
  <si>
    <t xml:space="preserve">नियामकीय प्रतिवेदन </t>
  </si>
  <si>
    <t xml:space="preserve">वार्षिक समष्टिगत विवरण (कोपोमिस) </t>
  </si>
  <si>
    <t xml:space="preserve">साधारण सभाको सूचना </t>
  </si>
  <si>
    <t xml:space="preserve">साधारण सभाको प्रतिवेदन </t>
  </si>
  <si>
    <t>ऋण वर्गिकरण र सुरक्षण अवस्था प्रतिवेदन तालिका नं ३.१ र ३.२ बमोजिम</t>
  </si>
  <si>
    <t xml:space="preserve">तालिका नं ४ बमोजिम तरलता अवस्था सम्बन्धि प्रतिवेदन </t>
  </si>
  <si>
    <t xml:space="preserve">तालिका नं ६.१ र ६.२ बमोजिमको जोखिम भारित सम्पति र पूँजी पर्याप्तता मापनको विवरण </t>
  </si>
  <si>
    <t xml:space="preserve">प्रमुख कार्यकारी अधिकृत नियुक्ती गरिएको जानकारी (नियुक्ती गरिएको १५ दिनभित्र) </t>
  </si>
  <si>
    <t>Risk Reference</t>
  </si>
  <si>
    <t>Risk</t>
  </si>
  <si>
    <t>विवरण</t>
  </si>
  <si>
    <t>बचत तथा ऋणको ब्याजदर, ब्याज गणना विधि, हर्जाना लगाउने विधि र सेवा शुल्कसम्बन्धी विवरण</t>
  </si>
  <si>
    <t xml:space="preserve">सम्पत्ति शुद्धीकरण निवारण </t>
  </si>
  <si>
    <t xml:space="preserve">सम्पत्ति शुद्धीकरण निवारण आन्तरिक कार्यविधि </t>
  </si>
  <si>
    <t xml:space="preserve">कम्प्लायन्स अफिसरको जिम्मेवारी तोकिएको </t>
  </si>
  <si>
    <t xml:space="preserve">goAML Production Environment बाट रिपोर्टिङ भएको । </t>
  </si>
  <si>
    <t>Additional Input Section</t>
  </si>
  <si>
    <t>Total Members</t>
  </si>
  <si>
    <t>KYM Update</t>
  </si>
  <si>
    <t>% of KYM</t>
  </si>
  <si>
    <t>KYM Update (More than 90%, 75%, 67%, below 67%</t>
  </si>
  <si>
    <t xml:space="preserve">बाह्य लेखा परिक्षक साधारण सभाबाट स्वीकृत </t>
  </si>
  <si>
    <t xml:space="preserve">साधारण सभाबाट पारिश्रमिक तोकिएको </t>
  </si>
  <si>
    <t>Audit Opinion</t>
  </si>
  <si>
    <t xml:space="preserve">बाह्य लेखा परिक्षण प्रतिवेदन </t>
  </si>
  <si>
    <t xml:space="preserve">कोपोमिसमा बाह्य लेखा परिक्षण प्रतिवेदन पेश </t>
  </si>
  <si>
    <t xml:space="preserve">लङ फर्म अडिट प्रतिवेदन प्राप्त भएको </t>
  </si>
  <si>
    <t xml:space="preserve">स्प्रेड रेट र सन्दर्भ ब्याजदर </t>
  </si>
  <si>
    <t xml:space="preserve">ऋणमा अधिकतम ब्याजदर </t>
  </si>
  <si>
    <t xml:space="preserve">ऋणमा न्यूनतम ब्याजदर </t>
  </si>
  <si>
    <t xml:space="preserve">बचतमा अधिकतम ब्याजदर </t>
  </si>
  <si>
    <t xml:space="preserve">बचतमा न्यूनतम ब्याजदर </t>
  </si>
  <si>
    <t xml:space="preserve">स्प्रेड रेट </t>
  </si>
  <si>
    <t>करचुक्ता प्रमाणपत्र</t>
  </si>
  <si>
    <t xml:space="preserve">कर पाटी राखे नराखेको </t>
  </si>
  <si>
    <t xml:space="preserve">अग्रीम आयकर (संस्थाको वित्तीय प्रतिवेदन बमोजिम </t>
  </si>
  <si>
    <t xml:space="preserve">अग्रीम आयकर (आयकर अनुसूची १० बमोजिम) </t>
  </si>
  <si>
    <t xml:space="preserve">आयकर दाखिला रकम </t>
  </si>
  <si>
    <t xml:space="preserve">कर चुक्ता लिएको </t>
  </si>
  <si>
    <t xml:space="preserve">श्रम कानुन सम्बन्धी पालना </t>
  </si>
  <si>
    <t xml:space="preserve">कुल कर्मचारी संख्या </t>
  </si>
  <si>
    <t xml:space="preserve">नियमित रोजगारीमा कति संख्या </t>
  </si>
  <si>
    <t xml:space="preserve">प्रशिक्षार्थी कर्मचारी संख्या </t>
  </si>
  <si>
    <t xml:space="preserve">सामाजिक सुरक्षा कोषमा गए नगएको ? </t>
  </si>
  <si>
    <t xml:space="preserve">नागरिक लगानी कोष वा सञ्चय कोषमा रकम पठाए नपठाएको ? </t>
  </si>
  <si>
    <t xml:space="preserve">श्रम अडिट गरे नगरेको </t>
  </si>
  <si>
    <t xml:space="preserve">सबै नियमित कर्मचारीहरुलाइ उपदान दिए नदिएको ? </t>
  </si>
  <si>
    <t>लगानी हिसाब</t>
  </si>
  <si>
    <t>सरकारी ऋणपत्रमा गरेको लगानी</t>
  </si>
  <si>
    <t>गैह्र बैंकिङ सम्पत्ति</t>
  </si>
  <si>
    <t>Code</t>
  </si>
  <si>
    <t>Amount in Rs</t>
  </si>
  <si>
    <t>Yearly Dashboard</t>
  </si>
  <si>
    <t>वित्तीय जोखिम</t>
  </si>
  <si>
    <t xml:space="preserve">समिति, उपसमिति र व्यवस्थापन </t>
  </si>
  <si>
    <t xml:space="preserve">हाल बहाल रहेको सञ्चालक समिति संख्या </t>
  </si>
  <si>
    <t xml:space="preserve">सञ्चालक समितिमा महिला प्रतिनिधित्व संख्या  </t>
  </si>
  <si>
    <t xml:space="preserve">सन्तव्यासको स्व:घोषणा </t>
  </si>
  <si>
    <t>अन्य कोषहरु</t>
  </si>
  <si>
    <t>Loan Against FD or Government Securities</t>
  </si>
  <si>
    <t>Loan Against Collateral or BOD Guarantee</t>
  </si>
  <si>
    <t>Short Term Liabilities</t>
  </si>
  <si>
    <t>Loan Loss Provision</t>
  </si>
  <si>
    <t>Account Name (English)</t>
  </si>
  <si>
    <t>Account Name (Nepali)</t>
  </si>
  <si>
    <t>Share Capital</t>
  </si>
  <si>
    <t>शेयर पूँजी</t>
  </si>
  <si>
    <t>Funds</t>
  </si>
  <si>
    <t>कोषहरु</t>
  </si>
  <si>
    <t>General Reserve Fund</t>
  </si>
  <si>
    <t>जगेडा कोष</t>
  </si>
  <si>
    <t>Loss Fulfilment Fund</t>
  </si>
  <si>
    <t>घाटापूर्ती कोष</t>
  </si>
  <si>
    <t>Other Funds</t>
  </si>
  <si>
    <t>Assets Revaluation Reserve</t>
  </si>
  <si>
    <t>सम्पति पुनर्मूल्याकंन कोष</t>
  </si>
  <si>
    <t>Non Specific Reserve Fund (If Any)</t>
  </si>
  <si>
    <t>प्रयोजन किटान नगरिएका कोषहरु (सहकारी विकास कोष+जोखिम व्यवस्थापन कोष)</t>
  </si>
  <si>
    <t>Savings</t>
  </si>
  <si>
    <t>बचत हिसाब</t>
  </si>
  <si>
    <t>Regular Savings</t>
  </si>
  <si>
    <t>नियमित बचत</t>
  </si>
  <si>
    <t>Recurring Savings</t>
  </si>
  <si>
    <t>क्रमिक बचत</t>
  </si>
  <si>
    <t>Optional Savings</t>
  </si>
  <si>
    <t>ऐच्छिक बचत</t>
  </si>
  <si>
    <t>Fixed Savings</t>
  </si>
  <si>
    <t>आवधिक बचत</t>
  </si>
  <si>
    <t>External Loan/Borrowings</t>
  </si>
  <si>
    <t>बाह्य ऋण</t>
  </si>
  <si>
    <t>Subsidies</t>
  </si>
  <si>
    <t>पूँजीगत अनुदान</t>
  </si>
  <si>
    <t>Current Liabilities</t>
  </si>
  <si>
    <t>चालु दायित्व</t>
  </si>
  <si>
    <t>Provision for other Non Banking Assets</t>
  </si>
  <si>
    <t>गैह्रबैंकिङ सम्पतिको लागि छुट्याइएको सुरक्षण</t>
  </si>
  <si>
    <t>Provision for Other Assets</t>
  </si>
  <si>
    <t>ऋण / गैह्र बैंकिङ सम्पति बाहेकको अन्य जोखिम सम्पत्तिको लागि छुट्याइएको सुरक्षण रकम</t>
  </si>
  <si>
    <t>Long Term Liabilities</t>
  </si>
  <si>
    <t>दीर्घकालिन दायित्व</t>
  </si>
  <si>
    <t>Incomes</t>
  </si>
  <si>
    <t>आम्दानी</t>
  </si>
  <si>
    <t>Interest Income from loan</t>
  </si>
  <si>
    <t>ऋण लगानीबाट प्राप्त ब्याज आम्दानी</t>
  </si>
  <si>
    <t>Interest Income from Liquid Investment</t>
  </si>
  <si>
    <t>बैक हिसाब /तरल लगानीबाट प्राप्त आम्दानी</t>
  </si>
  <si>
    <t>Interest Income from Financial Investment</t>
  </si>
  <si>
    <t>वित्तीय लगानीबाट प्राप्त आम्दानी</t>
  </si>
  <si>
    <t>Other Incomes</t>
  </si>
  <si>
    <t>अन्य आम्दानी</t>
  </si>
  <si>
    <t>Loan Loss Provision Incomes</t>
  </si>
  <si>
    <t>ऋण सुरक्षण कोषबाट आम्दानी</t>
  </si>
  <si>
    <t>CODE</t>
  </si>
  <si>
    <t>Cash in Hand</t>
  </si>
  <si>
    <t>नगद मौज्दात</t>
  </si>
  <si>
    <t>Cash at Bank</t>
  </si>
  <si>
    <t>बैंक हिसाब</t>
  </si>
  <si>
    <t>Balance in Central Bank Licensing Banks &amp; Financial Institutions</t>
  </si>
  <si>
    <t>नेपाल राष्ट्र बैंकबाट इजाजतपत्र प्राप्त बैंक तथा वित्तीय संस्थामा रहेको मौज्दात</t>
  </si>
  <si>
    <t>Balance in Central Bank Licensing Coop Banks</t>
  </si>
  <si>
    <t>नेपाल राष्ट्र बैंकबाट इजाजतपत्र प्राप्त सहकारी बैंकहरुमा रहेको मौज्दात</t>
  </si>
  <si>
    <t>Balance in Federations/Networks</t>
  </si>
  <si>
    <t>संघहरुमा रहेको मौज्दात</t>
  </si>
  <si>
    <t>Off-Banks Liquid Assets (E-Sewa, Khalti)</t>
  </si>
  <si>
    <t>अन्यमा रहेको मौज्दात</t>
  </si>
  <si>
    <t>Investment</t>
  </si>
  <si>
    <t>Fixed Deposit in Central Bank Licensing Financial Institutions</t>
  </si>
  <si>
    <t>नेपाल राष्ट्र बैंकबाट इजाजतपत्र प्राप्त बैंक तथा वित्तीय संस्थामा रहेको मुद्दती बचत</t>
  </si>
  <si>
    <t>Fixed Deposit in Central Bank Licensing Coop Banks</t>
  </si>
  <si>
    <t>नेपाल राष्ट्र बैंकबाट इजाजतपत्र प्राप्त सहकारी बैंकहरुमा रहेको मुद्दती बचत</t>
  </si>
  <si>
    <t>Investment in Government Securities</t>
  </si>
  <si>
    <t>Fixed Deposit in Federations/Networks</t>
  </si>
  <si>
    <t>संघहरुमा रहेको मुद्दती बचत</t>
  </si>
  <si>
    <t>Shares and Regular Savings in Federations/Networks</t>
  </si>
  <si>
    <t>शेयर लगानी एवं संघहरुमा गरिएको नियमित बचत</t>
  </si>
  <si>
    <t>Loan Investment</t>
  </si>
  <si>
    <t>ऋण लगानी</t>
  </si>
  <si>
    <t>Loan Against Savings (Not Exceeding 90% of Savings)</t>
  </si>
  <si>
    <t>बचत सुरक्षणमा प्रवाह गरिएको लगानीमा रहेको ऋण रकम</t>
  </si>
  <si>
    <t>Collateral Loan (Self-Family owned Collateral)</t>
  </si>
  <si>
    <t>धितो सुरक्षण (स्वयं र पारिवारिक धितो) मा प्रवाह गरिएको लगानीमा रहेको ऋण रकम</t>
  </si>
  <si>
    <t>Non-Collateral Loan</t>
  </si>
  <si>
    <t>बिना धितोमा प्रवाह गरिएको लगानीमा रहेको ऋण रकम</t>
  </si>
  <si>
    <t>Third Party Collateral Loan</t>
  </si>
  <si>
    <t>तेस्रो पक्ष धितोमा प्रवाह गरिएको लगानीमा रहेको ऋण रकम</t>
  </si>
  <si>
    <t>Receivable</t>
  </si>
  <si>
    <t>पाउनु पर्ने हिसाब</t>
  </si>
  <si>
    <t>Fixed Assets</t>
  </si>
  <si>
    <t>स्थिर सम्पत्ति</t>
  </si>
  <si>
    <t>Land &amp; Building</t>
  </si>
  <si>
    <t>घर जग्गा</t>
  </si>
  <si>
    <t>Other Fixed Assets beyond Land &amp; Building</t>
  </si>
  <si>
    <t>घरजग्गा बाहेकको अन्य स्थिर सम्पत्ति</t>
  </si>
  <si>
    <t>Other Assets</t>
  </si>
  <si>
    <t>अन्य सम्पत्तिहरु</t>
  </si>
  <si>
    <t>Non-Banking Assets</t>
  </si>
  <si>
    <t>अन्य सम्पत्ति</t>
  </si>
  <si>
    <t>Expenses</t>
  </si>
  <si>
    <t>खर्चहरु</t>
  </si>
  <si>
    <t>Interest Expenses for Savings</t>
  </si>
  <si>
    <t>बचतमा ब्याज खर्च</t>
  </si>
  <si>
    <t>Interest Expenses for External Loan</t>
  </si>
  <si>
    <t>बाह्य ऋणमा ब्याज खर्च</t>
  </si>
  <si>
    <t>Personnel Expenses</t>
  </si>
  <si>
    <t>कर्मचारी खर्च</t>
  </si>
  <si>
    <t>Administrative and Office Expenses</t>
  </si>
  <si>
    <t>प्रशासनिक एवं कार्यालय खर्चहरु</t>
  </si>
  <si>
    <t>Governance Expenses</t>
  </si>
  <si>
    <t>सुशासन खर्च</t>
  </si>
  <si>
    <t>Depreciation</t>
  </si>
  <si>
    <t>ह्रासकट्टी</t>
  </si>
  <si>
    <t>Loan Loss Provision Expenses</t>
  </si>
  <si>
    <t>ऋण सुरक्षण खर्च</t>
  </si>
  <si>
    <t>Other all remaining Expenses if Any</t>
  </si>
  <si>
    <t>अन्य सबै खर्चहरु</t>
  </si>
  <si>
    <t>Amount in Rs.</t>
  </si>
  <si>
    <t xml:space="preserve">छोटो अवधिको दायित्व </t>
  </si>
  <si>
    <t>ऋण सुरक्षण कोष</t>
  </si>
  <si>
    <t xml:space="preserve">सरकारी ऋणपत्र वा मुद्धती बचतको धितोमा लिइएको बाह्य ऋण </t>
  </si>
  <si>
    <t xml:space="preserve">सञ्चालक समितिको जमानत वा अचल सम्पति धितोमा लिइएको बाह्य ऋण </t>
  </si>
  <si>
    <t>Income Statement</t>
  </si>
  <si>
    <t>Net Interest Income</t>
  </si>
  <si>
    <t xml:space="preserve">खुद ब्याज आम्दानी </t>
  </si>
  <si>
    <t xml:space="preserve">कुल ब्याज आम्दानी </t>
  </si>
  <si>
    <t>Total Interest Income</t>
  </si>
  <si>
    <t>Total Interest Expenses</t>
  </si>
  <si>
    <t xml:space="preserve">कुल ब्याज खर्च </t>
  </si>
  <si>
    <t>Total Operating Expenses</t>
  </si>
  <si>
    <t xml:space="preserve">Amount in Rs. </t>
  </si>
  <si>
    <t>Other Operating Incomes Total</t>
  </si>
  <si>
    <t>Insufficiency of Loan Loss Provision</t>
  </si>
  <si>
    <t>Insufficiency of Non-Banking Assets</t>
  </si>
  <si>
    <t>पुरा गर्न बाँकी ऋण सुरक्षण कोष</t>
  </si>
  <si>
    <t xml:space="preserve">पुरा गर्न बाँकी गैह्र बैंकिङ सम्पति सुरक्षण कोष </t>
  </si>
  <si>
    <t xml:space="preserve">Profit/Loss </t>
  </si>
  <si>
    <t>Profit/Loss after adjustment</t>
  </si>
  <si>
    <t>Profit/Loss from Income Statement</t>
  </si>
  <si>
    <t>Total Equity &amp; Liabilities</t>
  </si>
  <si>
    <t xml:space="preserve">Good Loan </t>
  </si>
  <si>
    <t>असल ऋण</t>
  </si>
  <si>
    <t xml:space="preserve">1-90 Days Delinquent Loan </t>
  </si>
  <si>
    <t xml:space="preserve">१ देखि ९० दिनसम्म भाखा नाघेको ऋण </t>
  </si>
  <si>
    <t>Total Performing Loan</t>
  </si>
  <si>
    <t xml:space="preserve">कुल सक्रिय ऋण </t>
  </si>
  <si>
    <t>कमसल ऋण (९१ देखि १८० दिन भाखा नाघेको ऋण )</t>
  </si>
  <si>
    <t>Doubtful Loan (181-365 Days Delinquent Loan)</t>
  </si>
  <si>
    <t>शंकास्पद ऋण (१८१ देखि ३६५ दिन भाखा नाघेको ऋण)</t>
  </si>
  <si>
    <t>Substandard Loan (91-180 Days Delinquent Loan)</t>
  </si>
  <si>
    <t>Loss Loan (365 Days above Delinquent Loan)</t>
  </si>
  <si>
    <t>खराब ऋण (३६५ दिनभन्दा बढी भाखा नाघेको ऋण)</t>
  </si>
  <si>
    <t xml:space="preserve">तेश्रो पक्ष धितो ऋण </t>
  </si>
  <si>
    <t>Total Non Performing Loan</t>
  </si>
  <si>
    <t xml:space="preserve">कुल निष्क्रिय ऋण </t>
  </si>
  <si>
    <t>Actual Provision</t>
  </si>
  <si>
    <t xml:space="preserve">Amount </t>
  </si>
  <si>
    <t>Loan Loss Provision Sufficiency Test</t>
  </si>
  <si>
    <t>Remaining</t>
  </si>
  <si>
    <t>Insufficient Loan Loss Provision</t>
  </si>
  <si>
    <t>थप आवश्यक ऋण सुरक्षण कोष</t>
  </si>
  <si>
    <t>Required Provision %</t>
  </si>
  <si>
    <t>Less:</t>
  </si>
  <si>
    <t>Net Non Banking Assets</t>
  </si>
  <si>
    <t xml:space="preserve"> खुद गैह्रबैकिङ सम्पत्ति </t>
  </si>
  <si>
    <t>Provision for Loan Losses</t>
  </si>
  <si>
    <t xml:space="preserve">ऋण सुरक्षण कोष रकम </t>
  </si>
  <si>
    <t>Required Provision for Delinquent Loan</t>
  </si>
  <si>
    <t>आवश्यक ऋण सुरक्षण कोष</t>
  </si>
  <si>
    <t>Net Outstanding Loan</t>
  </si>
  <si>
    <t>Total Assets</t>
  </si>
  <si>
    <t>Provision for Other Assets if any</t>
  </si>
  <si>
    <t xml:space="preserve">नाफा/नोक्सान </t>
  </si>
  <si>
    <t>Risk Weighted Assets</t>
  </si>
  <si>
    <t>In %</t>
  </si>
  <si>
    <t xml:space="preserve">Special Provision </t>
  </si>
  <si>
    <t xml:space="preserve">RWA Amount </t>
  </si>
  <si>
    <t>Provision for Any other Risk Assets</t>
  </si>
  <si>
    <t>Indicators</t>
  </si>
  <si>
    <t>Goal</t>
  </si>
  <si>
    <t>Numerator</t>
  </si>
  <si>
    <t>Denominator</t>
  </si>
  <si>
    <t>Result</t>
  </si>
  <si>
    <t/>
  </si>
  <si>
    <t>P = Protection</t>
  </si>
  <si>
    <t>P1</t>
  </si>
  <si>
    <t xml:space="preserve">Allowance for Loan Losses / Delinquency &gt; 365 Days &amp; Third Party Collateral Loan </t>
  </si>
  <si>
    <t>P2x-1</t>
  </si>
  <si>
    <t>Net Allowance for Loan Losses / Delinquency of 181-365 Days</t>
  </si>
  <si>
    <t>P2x-2</t>
  </si>
  <si>
    <t>Net Allowance for Loan Losses / Delinquency 91-180 Days</t>
  </si>
  <si>
    <t>P2x-3</t>
  </si>
  <si>
    <t>Net Allowance for Loan Lossess/Delinquency 1-90 Days</t>
  </si>
  <si>
    <t>P2x-4</t>
  </si>
  <si>
    <t>Net Allowance for Loan Lossess/Good Loan</t>
  </si>
  <si>
    <t>P2x-5</t>
  </si>
  <si>
    <t>Net Allowance for Loan Losses/Loan Against Savings.</t>
  </si>
  <si>
    <t>P6</t>
  </si>
  <si>
    <t>Solvency</t>
  </si>
  <si>
    <t>Min 111%</t>
  </si>
  <si>
    <t>E = Effective Financial Structure</t>
  </si>
  <si>
    <t>E0</t>
  </si>
  <si>
    <t xml:space="preserve">Total loans / Total assets </t>
  </si>
  <si>
    <t>70-80%</t>
  </si>
  <si>
    <t>E1</t>
  </si>
  <si>
    <t xml:space="preserve">Net Loans / Total Assets </t>
  </si>
  <si>
    <t xml:space="preserve"> 70-80 %</t>
  </si>
  <si>
    <t>E2</t>
  </si>
  <si>
    <t xml:space="preserve">Liquid Investments / Total Assets </t>
  </si>
  <si>
    <t xml:space="preserve"> Maximum 16%</t>
  </si>
  <si>
    <t>E3</t>
  </si>
  <si>
    <t>Financial Investments / Total Assets</t>
  </si>
  <si>
    <t xml:space="preserve"> Maximum 2%</t>
  </si>
  <si>
    <t>E4</t>
  </si>
  <si>
    <t>Non-Financial Investments / Total Assets</t>
  </si>
  <si>
    <t>0%</t>
  </si>
  <si>
    <t>E5</t>
  </si>
  <si>
    <t>Savings Deposits / Total Assets</t>
  </si>
  <si>
    <t>E6</t>
  </si>
  <si>
    <t xml:space="preserve">External Loan / Total Assets </t>
  </si>
  <si>
    <t>Maximum 5%</t>
  </si>
  <si>
    <t>E7</t>
  </si>
  <si>
    <t>Member Share Capital / Total Assets</t>
  </si>
  <si>
    <t>Max 20%</t>
  </si>
  <si>
    <t>E8</t>
  </si>
  <si>
    <t>Institutional Capital / Total Assets</t>
  </si>
  <si>
    <t xml:space="preserve"> At least 10%</t>
  </si>
  <si>
    <t>E9</t>
  </si>
  <si>
    <t xml:space="preserve">Net Institutional Capital/ Total Assets </t>
  </si>
  <si>
    <t xml:space="preserve"> Min 10%</t>
  </si>
  <si>
    <t>A = ASSET QUALITY</t>
  </si>
  <si>
    <t>A1</t>
  </si>
  <si>
    <t xml:space="preserve">Total Loan Delinquency / Gross Loan Portfolio </t>
  </si>
  <si>
    <t>equal or less than 5%</t>
  </si>
  <si>
    <t>A2</t>
  </si>
  <si>
    <t xml:space="preserve"> Non-earning assets / total assets</t>
  </si>
  <si>
    <t>Less Than or Equal to 5%</t>
  </si>
  <si>
    <t>A3</t>
  </si>
  <si>
    <t>Net Institutional &amp; Transitory Capital + Non Interest-Bearing Liabilities / Non-earning Assets</t>
  </si>
  <si>
    <t>More Than 200%</t>
  </si>
  <si>
    <t>R = RATES OF RETURN &amp; COSTS</t>
  </si>
  <si>
    <t>R1</t>
  </si>
  <si>
    <t>Net Loan Income / Average Net Loan Portfolio</t>
  </si>
  <si>
    <t>Entrepreneurial Rate</t>
  </si>
  <si>
    <t>R2</t>
  </si>
  <si>
    <t>Total Liquid Investment Income / Average Liquid Investments</t>
  </si>
  <si>
    <t>Market Rates</t>
  </si>
  <si>
    <t>R3</t>
  </si>
  <si>
    <t>Total Financial Investment Income / Average Financial Investments</t>
  </si>
  <si>
    <t>R5</t>
  </si>
  <si>
    <t>Total Interest Cost on Savings Deposits / Average Savings Deposits</t>
  </si>
  <si>
    <t>Market Rate</t>
  </si>
  <si>
    <t>R6</t>
  </si>
  <si>
    <t>Total Interest Cost on External Loan/Average External Loan</t>
  </si>
  <si>
    <t>R9</t>
  </si>
  <si>
    <t xml:space="preserve">Total Operating Expenses / Avg. Total Assets </t>
  </si>
  <si>
    <t>R12</t>
  </si>
  <si>
    <t>Dependent on E8</t>
  </si>
  <si>
    <t>L = LIQUIDITY</t>
  </si>
  <si>
    <t>L1</t>
  </si>
  <si>
    <t>S.T Investments + Liquid Assets - S.T. Payables /Savings Deposits</t>
  </si>
  <si>
    <t>Min 15%</t>
  </si>
  <si>
    <t>L3</t>
  </si>
  <si>
    <t>Non-Earning Liquid Assets / Total Assets</t>
  </si>
  <si>
    <t>Less Than 1%</t>
  </si>
  <si>
    <t>S = SIGNS OF GROWTH</t>
  </si>
  <si>
    <t>S10</t>
  </si>
  <si>
    <t>Growth in membership</t>
  </si>
  <si>
    <t>Minimum 15%</t>
  </si>
  <si>
    <t>S11</t>
  </si>
  <si>
    <t>Growth in total assets</t>
  </si>
  <si>
    <t>&gt;Inflation + 10%</t>
  </si>
  <si>
    <t>E3X2</t>
  </si>
  <si>
    <t>E3X1</t>
  </si>
  <si>
    <t>Maturity Fixed Financial Investment/Total Assets</t>
  </si>
  <si>
    <t>Maturity Non Fixed Financial Investment/Total Assets</t>
  </si>
  <si>
    <t>User Defined</t>
  </si>
  <si>
    <t xml:space="preserve">Investment in Specialized Coop Federation </t>
  </si>
  <si>
    <t xml:space="preserve">विशिष्टीकृत संघहरुमा लगानी </t>
  </si>
  <si>
    <t>Investment in Non-Financial Investment</t>
  </si>
  <si>
    <t>गैर वित्तीय क्षेत्रमा शेयर लगानी (सुपरमार्केट, हस्पिटल, स्कुल आदिमा गरिएको लगानी)</t>
  </si>
  <si>
    <t>Capital Adequacy</t>
  </si>
  <si>
    <t>Total Primary Capital</t>
  </si>
  <si>
    <t>Provision for Performing Loan</t>
  </si>
  <si>
    <t xml:space="preserve">सक्रिय ऋणको लागि सुरक्षण व्यवस्था </t>
  </si>
  <si>
    <t>Additional Provision for Loan Lossess</t>
  </si>
  <si>
    <t xml:space="preserve">अतिरिक्त ऋण सुरक्षण रकम </t>
  </si>
  <si>
    <t>Data Validation for Additional Provision</t>
  </si>
  <si>
    <t>1.5% of Risk Weighted Assets</t>
  </si>
  <si>
    <t>Or Acutal Additional Provision</t>
  </si>
  <si>
    <t>Data Validation for Revualuation Reserve</t>
  </si>
  <si>
    <t>Actual</t>
  </si>
  <si>
    <t xml:space="preserve">or Maximum Limit </t>
  </si>
  <si>
    <t>Primary Capital %</t>
  </si>
  <si>
    <t>प्राथमिक पूँजीकोषको प्रतिशत</t>
  </si>
  <si>
    <t>Total Supplementary Capital</t>
  </si>
  <si>
    <t>कुल पुरक पूँजी कोष</t>
  </si>
  <si>
    <t>Supplementary Capital %</t>
  </si>
  <si>
    <t xml:space="preserve">पूरक पूँजीको प्रतिशत </t>
  </si>
  <si>
    <t xml:space="preserve">कुल प्राथमिक पूँजी </t>
  </si>
  <si>
    <t>Total Capital %</t>
  </si>
  <si>
    <t xml:space="preserve">कुल पूँजीको प्रतिशत </t>
  </si>
  <si>
    <t>Capital Weightage Excluding Share Capital</t>
  </si>
  <si>
    <t>शेयर पूँजी बाहेकमा पूँजी कोष</t>
  </si>
  <si>
    <t xml:space="preserve">Capital Weightage % Excluding Share Capital </t>
  </si>
  <si>
    <t xml:space="preserve">शेयर पूँजी बाहेकमा पूँजी कोषको प्रतिशत </t>
  </si>
  <si>
    <t>Stress Adjustment from Land &amp; Building</t>
  </si>
  <si>
    <t>50 % of General Reserve</t>
  </si>
  <si>
    <t>100% of Primary Capital</t>
  </si>
  <si>
    <t>Less: Adjustment of Land &amp; Building above the limit</t>
  </si>
  <si>
    <t xml:space="preserve">घटाउने : सीमाभन्दा बढीको घरजग्गा </t>
  </si>
  <si>
    <t>Either 50% of General Reserve or 100% of Primary Capital whichever is Lower</t>
  </si>
  <si>
    <t>Base of Comparison</t>
  </si>
  <si>
    <t>Net Primary Capital</t>
  </si>
  <si>
    <t>खुद प्राथमिक पूँजीकोष</t>
  </si>
  <si>
    <t>Additional Input</t>
  </si>
  <si>
    <t>External Loan</t>
  </si>
  <si>
    <t xml:space="preserve"> Net Income / Average Total Assets </t>
  </si>
  <si>
    <t>Liquidity Calculation Sheet</t>
  </si>
  <si>
    <t xml:space="preserve">गते </t>
  </si>
  <si>
    <t>Total</t>
  </si>
  <si>
    <t xml:space="preserve">Savings (All) </t>
  </si>
  <si>
    <t>Total Liquid Assets (B+C)</t>
  </si>
  <si>
    <t>% of Liquid Assets to Total Savings</t>
  </si>
  <si>
    <t>Financial Investment ( Fixed Deposits only)</t>
  </si>
  <si>
    <t>Less: Loan Against FD</t>
  </si>
  <si>
    <t>Net Financial Investment (D-E)</t>
  </si>
  <si>
    <t>Max 5% of Savings</t>
  </si>
  <si>
    <t>F or G whichever is lower</t>
  </si>
  <si>
    <t>Total Liquidity %</t>
  </si>
  <si>
    <t>Beginning Members</t>
  </si>
  <si>
    <t>Closing Members</t>
  </si>
  <si>
    <t>Financial Risk</t>
  </si>
  <si>
    <t>Red</t>
  </si>
  <si>
    <t>Yellow</t>
  </si>
  <si>
    <t>Blue</t>
  </si>
  <si>
    <t>Green</t>
  </si>
  <si>
    <t>Less than 8%</t>
  </si>
  <si>
    <t>8-9%</t>
  </si>
  <si>
    <t>9-10%</t>
  </si>
  <si>
    <t>10% and Above</t>
  </si>
  <si>
    <t>पूँजी पर्याप्तता जोखिम ( Capital Adequacy)</t>
  </si>
  <si>
    <t xml:space="preserve">Risk </t>
  </si>
  <si>
    <t xml:space="preserve">तिर्न सक्ने सक्षमता (Capacity to Pay) </t>
  </si>
  <si>
    <t>CAR</t>
  </si>
  <si>
    <t>Less than 100</t>
  </si>
  <si>
    <t>110% &amp; More</t>
  </si>
  <si>
    <t>100-105%</t>
  </si>
  <si>
    <t>105-110%</t>
  </si>
  <si>
    <t>Risk Full Mark</t>
  </si>
  <si>
    <t>शुद्ध ऋण परिचालन (Net Loan to Total Assets</t>
  </si>
  <si>
    <t xml:space="preserve">If Less than 60 or More than 90 </t>
  </si>
  <si>
    <t>60-65 or 85-90%</t>
  </si>
  <si>
    <t>65-70 or 80-85</t>
  </si>
  <si>
    <t>70-80</t>
  </si>
  <si>
    <t>परिपक्वता अवधि निश्चित नभएका वित्तीय लगानीहरु (Maturity Non Fixed Financial Investment)</t>
  </si>
  <si>
    <t>More than 10%</t>
  </si>
  <si>
    <t>5-10%</t>
  </si>
  <si>
    <t>2-5%</t>
  </si>
  <si>
    <t>Less than or equal to 2%</t>
  </si>
  <si>
    <t xml:space="preserve">कुल बचत प्रतिशत </t>
  </si>
  <si>
    <t xml:space="preserve">If less than 5% or equal to Primary Capital </t>
  </si>
  <si>
    <t>5-15%</t>
  </si>
  <si>
    <t>15-30%</t>
  </si>
  <si>
    <t>30% above</t>
  </si>
  <si>
    <t>External Loan Limit</t>
  </si>
  <si>
    <t>Or 5% of Total Assets</t>
  </si>
  <si>
    <t>Prudential Limit</t>
  </si>
  <si>
    <t>% of External Loan with Total Assets</t>
  </si>
  <si>
    <t>बाह्य ऋण प्रतिशत</t>
  </si>
  <si>
    <t>शेयर पूँजी प्रतिशत</t>
  </si>
  <si>
    <t>If More than 40% or Less than 3%</t>
  </si>
  <si>
    <t>3-5% or 30-40%</t>
  </si>
  <si>
    <t>5-10% or 20-30%</t>
  </si>
  <si>
    <t>10-20%</t>
  </si>
  <si>
    <t>भाखा नाघेको ऋण प्रतिशत</t>
  </si>
  <si>
    <t>More than 40%</t>
  </si>
  <si>
    <t>20-40%</t>
  </si>
  <si>
    <t>5-20%</t>
  </si>
  <si>
    <t>0-5%</t>
  </si>
  <si>
    <t>P2X1</t>
  </si>
  <si>
    <t>P2X2</t>
  </si>
  <si>
    <t>P2X3</t>
  </si>
  <si>
    <t xml:space="preserve">खराब ऋणमा सुरक्षण पर्याप्तता </t>
  </si>
  <si>
    <t xml:space="preserve">शंकास्पद ऋणमा सुरक्षण पर्याप्तता </t>
  </si>
  <si>
    <t>कमसल ऋणमा सुरक्षण पर्याप्तता</t>
  </si>
  <si>
    <t>सक्रीय ऋणमा सुरक्षण पर्याप्तता</t>
  </si>
  <si>
    <t xml:space="preserve">पर्याप्तता सुरक्षण जाँच </t>
  </si>
  <si>
    <t>If P1 is less than 100%</t>
  </si>
  <si>
    <t>If P2X1 is less than 50%</t>
  </si>
  <si>
    <t>If P2X2 is less than 25%</t>
  </si>
  <si>
    <t>If P2X3 is not less than 1%</t>
  </si>
  <si>
    <t>Symbol</t>
  </si>
  <si>
    <t xml:space="preserve">तरलता अनुपात </t>
  </si>
  <si>
    <t>नकमाउने तरल सम्पत्तिको अनुपात</t>
  </si>
  <si>
    <t xml:space="preserve">तरलता जोखिम </t>
  </si>
  <si>
    <t>More than 60% or Less than 10%</t>
  </si>
  <si>
    <t>10-12% or 30-60%</t>
  </si>
  <si>
    <t>12-15% or 20-30%</t>
  </si>
  <si>
    <t>15-20%</t>
  </si>
  <si>
    <t>More than 1%</t>
  </si>
  <si>
    <t>0.75-1%</t>
  </si>
  <si>
    <t>0.5-0.75%</t>
  </si>
  <si>
    <t>Less than or equal to 0.5%</t>
  </si>
  <si>
    <t xml:space="preserve">सदस्यता बृद्धिदर </t>
  </si>
  <si>
    <t>If negative growth more than 20%</t>
  </si>
  <si>
    <t>If negative growth upto 20</t>
  </si>
  <si>
    <t>If zero growth</t>
  </si>
  <si>
    <t>If Positive growth</t>
  </si>
  <si>
    <t xml:space="preserve">सम्पत्ति बृद्धिदर </t>
  </si>
  <si>
    <t xml:space="preserve">सञ्चालन खर्चको अनुपात </t>
  </si>
  <si>
    <t>&gt;8%</t>
  </si>
  <si>
    <t>7-8%</t>
  </si>
  <si>
    <t>5-7%</t>
  </si>
  <si>
    <t>&lt;=5%</t>
  </si>
  <si>
    <t xml:space="preserve">सञ्चालन तथा सुशासन जोखिम </t>
  </si>
  <si>
    <t xml:space="preserve">पहिलो त्रैमास प्रतिवेदन </t>
  </si>
  <si>
    <t xml:space="preserve">दोश्रो त्रैमास प्रतिवेदन </t>
  </si>
  <si>
    <t xml:space="preserve">तेश्रो त्रैमास प्रतिवेदन </t>
  </si>
  <si>
    <t xml:space="preserve">चौंथो त्रैमास प्रतिवेदन </t>
  </si>
  <si>
    <t>आन्तरिक लेखा परिक्षण प्रतिवेदन</t>
  </si>
  <si>
    <t>सुशासन तथा सञ्चालन जोखिम</t>
  </si>
  <si>
    <t xml:space="preserve">वित्तीय जोखिम </t>
  </si>
  <si>
    <t xml:space="preserve">पूँजी पर्याप्तता अनुपात </t>
  </si>
  <si>
    <t>तिर्न सक्ने सक्षमता</t>
  </si>
  <si>
    <t>ऋण परिचालन</t>
  </si>
  <si>
    <t>वित्तीय लगानी (मुद्धती लगानी मात्र)</t>
  </si>
  <si>
    <t>बचत</t>
  </si>
  <si>
    <t>बाह्य दायित्व</t>
  </si>
  <si>
    <t xml:space="preserve">सञ्चालन खर्च </t>
  </si>
  <si>
    <t xml:space="preserve">सूची </t>
  </si>
  <si>
    <t>अनुपात</t>
  </si>
  <si>
    <t xml:space="preserve">जोखिम स्तर </t>
  </si>
  <si>
    <t>Risk Type</t>
  </si>
  <si>
    <t>Risk Category</t>
  </si>
  <si>
    <t>Malignant</t>
  </si>
  <si>
    <t>Suspicious</t>
  </si>
  <si>
    <t>Significant</t>
  </si>
  <si>
    <t>Non-Significant</t>
  </si>
  <si>
    <t>ऋण जोखिम</t>
  </si>
  <si>
    <t xml:space="preserve">ऋणको पोर्टफोलियो विश्लेषण </t>
  </si>
  <si>
    <t xml:space="preserve">डोसरी ऋणको प्रतिशत </t>
  </si>
  <si>
    <t xml:space="preserve">डोसरी ऋण इनपुट </t>
  </si>
  <si>
    <t xml:space="preserve">कुल ऋण रकममा प्रतिशत </t>
  </si>
  <si>
    <t xml:space="preserve">ऋण सुरक्षण पर्याप्तता जाँच </t>
  </si>
  <si>
    <t>तरलता जोखिम</t>
  </si>
  <si>
    <t xml:space="preserve">साधारण सभा </t>
  </si>
  <si>
    <t xml:space="preserve">साधारण सभा सम्बन्धी सूचना कम्तिमा ३० दिन अघि दिएको । </t>
  </si>
  <si>
    <t xml:space="preserve">निर्वाचन सहितको साधारण सभा भए १५ दिन अघि निर्वाचन तालिका प्रकाशन भएको । </t>
  </si>
  <si>
    <t>साधारण सभाको सूचना जारी हुँदा कायम रहेका सदस्य संख्या</t>
  </si>
  <si>
    <t xml:space="preserve">साधारण सभामा उपस्थिति </t>
  </si>
  <si>
    <t xml:space="preserve">साधारण सभा उपस्थिति प्रतिशत </t>
  </si>
  <si>
    <t>AGM Participation Report</t>
  </si>
  <si>
    <t>AGM Participation %</t>
  </si>
  <si>
    <t>सञ्चालन तथा सुशासन जोखिम</t>
  </si>
  <si>
    <t xml:space="preserve">कर्मचारीहरुको नियुक्ती तथा कारवाही अभिलेख </t>
  </si>
  <si>
    <t xml:space="preserve">सबै कर्मचारीहरुको दरबन्दी स्वीकृत गरिएको छ? </t>
  </si>
  <si>
    <t xml:space="preserve">सबै कर्मचारीहरुलाइ नियुक्ती दिइएको छ ? </t>
  </si>
  <si>
    <t xml:space="preserve">व्यवस्थापन प्रमुखको योग्यता प्राधिकरण मापदण्ड बमोजिम पुग्ने देखिन्छ ? </t>
  </si>
  <si>
    <t xml:space="preserve">संघको सूचना प्रणालीमा उच्च व्यवस्थापन कर्मचारीहरुको विवरण प्रविष्ठी गरिएको छ ? </t>
  </si>
  <si>
    <t xml:space="preserve">प्राविधिक विश्लेषण </t>
  </si>
  <si>
    <t>सफ्टवेयरको नाम</t>
  </si>
  <si>
    <t xml:space="preserve">Web based Software हो ? </t>
  </si>
  <si>
    <t xml:space="preserve">Two Factor Authentication प्रयोगमा ल्याइएको छ ? </t>
  </si>
  <si>
    <t xml:space="preserve">Admin User आफैंले Transaction Entry नगर्ने Strict Rule कार्यान्वयनमा ल्याइएको छ ? </t>
  </si>
  <si>
    <t xml:space="preserve">संस्थामा सूचना प्रविधि नीति छ ? </t>
  </si>
  <si>
    <t>बजार जोखिम</t>
  </si>
  <si>
    <t xml:space="preserve">सम्पत्ती बृद्धिदर </t>
  </si>
  <si>
    <t xml:space="preserve">सबै नियमित रोजगारीमा रहेका कर्मचारीले नेपाल सरकारले निर्धारण गरेको न्यूनतम तलब सुविधा प्राप्त गरेको </t>
  </si>
  <si>
    <t>नगरेको</t>
  </si>
  <si>
    <t>वित्तीय प्रतिवेदन र आयकर अनुसूची १० बीचको फरक</t>
  </si>
  <si>
    <t xml:space="preserve">फरक परेको जोखिम समायोजन </t>
  </si>
  <si>
    <t xml:space="preserve">हाल बहाल रहेको लेखा सुपरिवेक्षण समिति संख्या </t>
  </si>
  <si>
    <t xml:space="preserve">विनियममा व्यवस्था भएको सञ्चालक समिति संख्या </t>
  </si>
  <si>
    <t xml:space="preserve">बहाल सञ्चालक समितिको प्रतिशत </t>
  </si>
  <si>
    <t xml:space="preserve">सञ्चालक समितिमा महिला प्रतिनिधित्व प्रतिशत </t>
  </si>
  <si>
    <t>भएको</t>
  </si>
  <si>
    <t>निर्वाचन वर्ष नभएको</t>
  </si>
  <si>
    <t>Input</t>
  </si>
  <si>
    <t xml:space="preserve">नियामकीय प्रतिवेदनहरु </t>
  </si>
  <si>
    <t xml:space="preserve">सम्पत्ती शुद्धीकरण निवारण कार्यान्वयन </t>
  </si>
  <si>
    <t xml:space="preserve">बाह्य लेखा परिक्षण </t>
  </si>
  <si>
    <t xml:space="preserve">स्प्रेड र सन्दर्भ ब्याजदर </t>
  </si>
  <si>
    <t xml:space="preserve">कर चुक्ता </t>
  </si>
  <si>
    <t xml:space="preserve">श्रम कानुन परिपालना </t>
  </si>
  <si>
    <t>जोखिम अंक</t>
  </si>
  <si>
    <t>जोखिम पूर्णाङ्क</t>
  </si>
  <si>
    <t>जोखिम तह</t>
  </si>
  <si>
    <t xml:space="preserve">जोखिम कोड </t>
  </si>
  <si>
    <t xml:space="preserve">तिर्न सक्ने सक्षमता </t>
  </si>
  <si>
    <t xml:space="preserve">ऋण परिचालन </t>
  </si>
  <si>
    <t>वितीय लगानी</t>
  </si>
  <si>
    <t xml:space="preserve">बाह्य दायित्व </t>
  </si>
  <si>
    <t xml:space="preserve">शेयरपूँजी </t>
  </si>
  <si>
    <t xml:space="preserve"> अनुपात</t>
  </si>
  <si>
    <t xml:space="preserve">सञ्चालक समिति, लेखा सुपरिवेक्षण समिति र कर्मचारी र निजका एकाघरले प्रयोग गरेको ऋण अवस्था </t>
  </si>
  <si>
    <t xml:space="preserve">ऋण जोखिम सुरक्षणको अवस्था </t>
  </si>
  <si>
    <t xml:space="preserve">तरलता प्रतिशत </t>
  </si>
  <si>
    <t xml:space="preserve">नकमाउने तरल सम्पत्तिको प्रतिशत </t>
  </si>
  <si>
    <t xml:space="preserve">कुल तरलता जोखिम प्रतिशत </t>
  </si>
  <si>
    <t>कुल वित्तीय जोखिम</t>
  </si>
  <si>
    <t>कुल कानुनी जोखिम</t>
  </si>
  <si>
    <t xml:space="preserve">कुल ऋण जोखिम </t>
  </si>
  <si>
    <t xml:space="preserve">आन्तरिक लेखा परिक्षण </t>
  </si>
  <si>
    <t>साधारण सभा</t>
  </si>
  <si>
    <t xml:space="preserve">प्रविधि </t>
  </si>
  <si>
    <t>Total'</t>
  </si>
  <si>
    <t xml:space="preserve">कुल तरलता जोखम </t>
  </si>
  <si>
    <t xml:space="preserve">कुल सञ्चालन तथा सुशासन जोखिम </t>
  </si>
  <si>
    <t xml:space="preserve">सदस्यता बृद्धि </t>
  </si>
  <si>
    <t>सम्पत्ती बृद्धि</t>
  </si>
  <si>
    <t>कुल जोखिम पूर्णाङ्क</t>
  </si>
  <si>
    <t>कुल जोखिम अङ्क</t>
  </si>
  <si>
    <t xml:space="preserve"> समग्र जोखिम कोड </t>
  </si>
  <si>
    <t>Overall Risk Indicator</t>
  </si>
  <si>
    <t>Score-Board</t>
  </si>
  <si>
    <t xml:space="preserve">समग्र जोखिम अवस्था </t>
  </si>
  <si>
    <t>Auditor's Name</t>
  </si>
  <si>
    <t>Auditor's Signature</t>
  </si>
  <si>
    <t>Date :</t>
  </si>
  <si>
    <t>Additional Loan Loss Provision</t>
  </si>
  <si>
    <t xml:space="preserve">अतिरिक्त ऋण सुरक्षण व्यवस्था </t>
  </si>
  <si>
    <t xml:space="preserve">यसमा श्रावणबाट गनेर महिना संख्याले भाग गरि १२ ले गुणा गर्ने । </t>
  </si>
  <si>
    <t>नेपाल बचत तथा ऋण केन्द्रीय सहकारी संघ लि (नेफस्कून)</t>
  </si>
  <si>
    <t xml:space="preserve">जोखिमस्तर प्रतिवेदन </t>
  </si>
  <si>
    <t xml:space="preserve">आर्थिक वर्ष २०८१/०८२ को </t>
  </si>
  <si>
    <t xml:space="preserve">मिति </t>
  </si>
  <si>
    <t>मासिक औसत</t>
  </si>
  <si>
    <t xml:space="preserve">ISO Certified Software हो ? </t>
  </si>
  <si>
    <t>Liquidity from Fixed deposit(Financial Investment)</t>
  </si>
  <si>
    <t xml:space="preserve">छान्नुहोस् </t>
  </si>
  <si>
    <t>सन्दर्भ ब्याजदरको पालना भएको</t>
  </si>
  <si>
    <t xml:space="preserve">सन्दर्भ ब्याजदरको पालना नभएको </t>
  </si>
  <si>
    <t>Loan Ageing-Input</t>
  </si>
  <si>
    <t>Required
 Provision</t>
  </si>
  <si>
    <t>Actual 
Provision</t>
  </si>
  <si>
    <t xml:space="preserve">नेफस्कून सदस्यता नम्बर </t>
  </si>
  <si>
    <t>संस्थाको इमेल</t>
  </si>
  <si>
    <t xml:space="preserve">सञ्चालक समिति, लेखा सुपरिवेक्षण समिति, उपसमिति र कर्मचारीहरुको एकाघरमा समेत रहेको  ऋण रकम रु </t>
  </si>
  <si>
    <t xml:space="preserve">माथि समावेश भएको ऋणमध्ये बचत सुरक्षण, कर्मचारी सहुलियत बाहेकको ऋण रकम रु  </t>
  </si>
  <si>
    <t xml:space="preserve">सञ्चालक समिति, लेखा सुपरिवेक्षण समिति, उपसमिति र कर्मचारीहरुको एकाघरमा समेत रहेको  ऋण रकममध्येको निष्क्रिय ऋण रकम रु </t>
  </si>
  <si>
    <t>ABC SACCOS</t>
  </si>
  <si>
    <t>gmail@gmail.com</t>
  </si>
  <si>
    <t xml:space="preserve">संस्था दर्ता नम्बर </t>
  </si>
  <si>
    <t xml:space="preserve">संस्थाको पान नम्बर </t>
  </si>
  <si>
    <t xml:space="preserve">सम्पर्क नम्बर </t>
  </si>
  <si>
    <t>व्यवस्थापन प्रमुखको नाम</t>
  </si>
  <si>
    <t>Financial Information Cut off Date</t>
  </si>
  <si>
    <t>2082-03-32</t>
  </si>
  <si>
    <t xml:space="preserve">वासलात मिति </t>
  </si>
  <si>
    <t xml:space="preserve">आय विवरण मिति </t>
  </si>
  <si>
    <t>g]kfn art tyf C0f s]Gb|Lo ;xsf/L ;+3 ln= -g]km\:s"g_</t>
  </si>
  <si>
    <t>gofFafg]Zj/, sf7df08f}+</t>
  </si>
  <si>
    <t>k"0f{ tyf Joj;flos ;fsf]; ljsf; sfo{qmd -k|f]j];g_</t>
  </si>
  <si>
    <r>
      <t>:jM d'NofÍg @)*@ -</t>
    </r>
    <r>
      <rPr>
        <b/>
        <u/>
        <sz val="17"/>
        <color theme="1"/>
        <rFont val="Times New Roman"/>
        <family val="1"/>
      </rPr>
      <t>Self Assessment 2082</t>
    </r>
    <r>
      <rPr>
        <b/>
        <u/>
        <sz val="20"/>
        <color theme="1"/>
        <rFont val="Preeti"/>
      </rPr>
      <t>_</t>
    </r>
  </si>
  <si>
    <t>;fsf];sf] gfd M</t>
  </si>
  <si>
    <t xml:space="preserve">7]ufgf M </t>
  </si>
  <si>
    <t xml:space="preserve">O{d]nM </t>
  </si>
  <si>
    <t>kmf]g g+=</t>
  </si>
  <si>
    <t>d"NofÍsg ul/Psf] ldlt M</t>
  </si>
  <si>
    <t>cf=a= ======================== sf] ljQLo k|ltj]bgsf] cfwf/df</t>
  </si>
  <si>
    <t>qm=;</t>
  </si>
  <si>
    <t>;"rs</t>
  </si>
  <si>
    <t>c+sef/</t>
  </si>
  <si>
    <t>;+:yfsf] cj:yf</t>
  </si>
  <si>
    <t>k|fKt c+s</t>
  </si>
  <si>
    <t xml:space="preserve">;"rs ;'wf/sf] nflu ;+:yfsf] cfufld of]hgf </t>
  </si>
  <si>
    <r>
      <t>PEARLS-</t>
    </r>
    <r>
      <rPr>
        <sz val="16"/>
        <color theme="1"/>
        <rFont val="FONTASY_HIMALI_TT"/>
        <family val="5"/>
      </rPr>
      <t>50</t>
    </r>
  </si>
  <si>
    <r>
      <t>P6-</t>
    </r>
    <r>
      <rPr>
        <sz val="13"/>
        <color rgb="FF000000"/>
        <rFont val="Preeti"/>
      </rPr>
      <t xml:space="preserve"> ;+:yfsf] ltg{ ;Sg] Ifdtf</t>
    </r>
  </si>
  <si>
    <r>
      <t>E1-</t>
    </r>
    <r>
      <rPr>
        <sz val="13"/>
        <color rgb="FF000000"/>
        <rFont val="Himalb"/>
      </rPr>
      <t xml:space="preserve"> </t>
    </r>
    <r>
      <rPr>
        <sz val="13"/>
        <color theme="1"/>
        <rFont val="Preeti"/>
      </rPr>
      <t>s"n ;DkQLsf] cg'kftdf z'4 C0f</t>
    </r>
  </si>
  <si>
    <r>
      <t xml:space="preserve">E4- </t>
    </r>
    <r>
      <rPr>
        <sz val="13"/>
        <color rgb="FF000000"/>
        <rFont val="Preeti"/>
      </rPr>
      <t xml:space="preserve">s"n ;DklQsf] cg'kftdf u}/ ljQLo nufgL </t>
    </r>
  </si>
  <si>
    <r>
      <t>E5 –</t>
    </r>
    <r>
      <rPr>
        <sz val="13"/>
        <color theme="1"/>
        <rFont val="Preeti"/>
      </rPr>
      <t>s"n ;DkQLsf] cg'kftdf jrt</t>
    </r>
  </si>
  <si>
    <r>
      <t xml:space="preserve">E6- </t>
    </r>
    <r>
      <rPr>
        <sz val="13"/>
        <color theme="1"/>
        <rFont val="Preeti"/>
      </rPr>
      <t>s"n ;DklQsf] cg'kftdf jfX\o C0f</t>
    </r>
  </si>
  <si>
    <r>
      <t>E7-</t>
    </r>
    <r>
      <rPr>
        <sz val="13"/>
        <color rgb="FF000000"/>
        <rFont val="Himalb"/>
      </rPr>
      <t xml:space="preserve"> </t>
    </r>
    <r>
      <rPr>
        <sz val="13"/>
        <color theme="1"/>
        <rFont val="Preeti"/>
      </rPr>
      <t>s"n ;DklQsf] cg'kftdf z]o/</t>
    </r>
  </si>
  <si>
    <r>
      <t xml:space="preserve">E8,E9 - </t>
    </r>
    <r>
      <rPr>
        <sz val="13"/>
        <color theme="1"/>
        <rFont val="Preeti"/>
      </rPr>
      <t>s"n ;DkQLsf] cg'kftdf s"n ;+:yfut k"FhL / z'4 ;+:yfut k"FhL</t>
    </r>
  </si>
  <si>
    <r>
      <t>A1 –</t>
    </r>
    <r>
      <rPr>
        <sz val="13"/>
        <color rgb="FF000000"/>
        <rFont val="Himalb"/>
      </rPr>
      <t xml:space="preserve"> </t>
    </r>
    <r>
      <rPr>
        <sz val="13"/>
        <color theme="1"/>
        <rFont val="Preeti"/>
      </rPr>
      <t>s"n C0fsf] cg'kftdf efvf gf3]sf] C0f</t>
    </r>
  </si>
  <si>
    <r>
      <t>A2-</t>
    </r>
    <r>
      <rPr>
        <sz val="13"/>
        <color rgb="FF000000"/>
        <rFont val="Himalb"/>
      </rPr>
      <t xml:space="preserve"> </t>
    </r>
    <r>
      <rPr>
        <sz val="13"/>
        <color theme="1"/>
        <rFont val="Preeti"/>
      </rPr>
      <t>s"n ;DklQsf] cg'kftdf gsdfpg] ;DklQsf] k|ltzt</t>
    </r>
  </si>
  <si>
    <r>
      <t xml:space="preserve">A3- </t>
    </r>
    <r>
      <rPr>
        <sz val="13"/>
        <color rgb="FF000000"/>
        <rFont val="Preeti"/>
      </rPr>
      <t xml:space="preserve">s"n cfo cfh{g gug]{ ;DklQsf] t'ngfdf z'4 nfut/lxt sf]ifsf] cj:yf </t>
    </r>
  </si>
  <si>
    <r>
      <t xml:space="preserve">R1- </t>
    </r>
    <r>
      <rPr>
        <sz val="13"/>
        <color rgb="FF000000"/>
        <rFont val="Preeti"/>
      </rPr>
      <t>cf}ift s"n z'4 C0f nufgLsf] cg'kftdf C0f nufgLaf6 k|fKt cfDbfgL</t>
    </r>
    <r>
      <rPr>
        <sz val="13"/>
        <color rgb="FF000000"/>
        <rFont val="Calibri"/>
        <family val="2"/>
        <scheme val="minor"/>
      </rPr>
      <t xml:space="preserve"> </t>
    </r>
  </si>
  <si>
    <r>
      <t>R7 –</t>
    </r>
    <r>
      <rPr>
        <sz val="13"/>
        <color rgb="FF000000"/>
        <rFont val="Himalb"/>
      </rPr>
      <t xml:space="preserve"> </t>
    </r>
    <r>
      <rPr>
        <sz val="13"/>
        <color theme="1"/>
        <rFont val="Preeti"/>
      </rPr>
      <t>cf}ift z]o/df z]o/ nfef+z</t>
    </r>
  </si>
  <si>
    <r>
      <t xml:space="preserve">R9 - </t>
    </r>
    <r>
      <rPr>
        <sz val="13"/>
        <color theme="1"/>
        <rFont val="Preeti"/>
      </rPr>
      <t>cf}ift s"n ;DklQsf] cg'kftdf ;~rfng vr{</t>
    </r>
  </si>
  <si>
    <r>
      <t xml:space="preserve">R12 - </t>
    </r>
    <r>
      <rPr>
        <sz val="13"/>
        <color rgb="FF000000"/>
        <rFont val="Preeti"/>
      </rPr>
      <t xml:space="preserve">cf}ift s'n ;DktLsf] cg'kftdf v'b art </t>
    </r>
  </si>
  <si>
    <r>
      <t xml:space="preserve">L1 - </t>
    </r>
    <r>
      <rPr>
        <sz val="13"/>
        <color theme="1"/>
        <rFont val="Preeti"/>
      </rPr>
      <t xml:space="preserve"> hDdf jrtsf] cg'kftdf t/ntf</t>
    </r>
  </si>
  <si>
    <r>
      <t>L3 -</t>
    </r>
    <r>
      <rPr>
        <sz val="13"/>
        <color rgb="FF000000"/>
        <rFont val="Himalb"/>
      </rPr>
      <t xml:space="preserve"> </t>
    </r>
    <r>
      <rPr>
        <sz val="13"/>
        <color theme="1"/>
        <rFont val="Preeti"/>
      </rPr>
      <t>hDdf ;DklQsf] cg'kftdf gsdfpg] t/n ;DklQ</t>
    </r>
  </si>
  <si>
    <r>
      <t>S10 –</t>
    </r>
    <r>
      <rPr>
        <sz val="13"/>
        <color rgb="FF000000"/>
        <rFont val="Himalb"/>
      </rPr>
      <t xml:space="preserve"> </t>
    </r>
    <r>
      <rPr>
        <sz val="13"/>
        <color theme="1"/>
        <rFont val="Preeti"/>
      </rPr>
      <t>jflif{s ;b:otf j[l4 b/</t>
    </r>
  </si>
  <si>
    <r>
      <t xml:space="preserve">S11 - </t>
    </r>
    <r>
      <rPr>
        <sz val="13"/>
        <color theme="1"/>
        <rFont val="Preeti"/>
      </rPr>
      <t>hDdf ;DklQsf] jflif{s j[l4 b/</t>
    </r>
  </si>
  <si>
    <r>
      <t xml:space="preserve">hDdf </t>
    </r>
    <r>
      <rPr>
        <b/>
        <sz val="13"/>
        <color rgb="FF000000"/>
        <rFont val="Times New Roman"/>
        <family val="1"/>
      </rPr>
      <t>PEARLS</t>
    </r>
  </si>
  <si>
    <r>
      <t xml:space="preserve">    </t>
    </r>
    <r>
      <rPr>
        <sz val="16"/>
        <color theme="1"/>
        <rFont val="Calibri"/>
        <family val="2"/>
        <scheme val="minor"/>
      </rPr>
      <t xml:space="preserve"> HIMAL-</t>
    </r>
    <r>
      <rPr>
        <sz val="16"/>
        <color theme="1"/>
        <rFont val="FONTASY_HIMALI_TT"/>
        <family val="5"/>
      </rPr>
      <t>50</t>
    </r>
  </si>
  <si>
    <r>
      <rPr>
        <sz val="14"/>
        <color theme="1"/>
        <rFont val="Preeti"/>
      </rPr>
      <t xml:space="preserve">   </t>
    </r>
    <r>
      <rPr>
        <sz val="16"/>
        <color theme="1"/>
        <rFont val="Preeti"/>
      </rPr>
      <t xml:space="preserve">  ;b:o s]lGb|otf</t>
    </r>
    <r>
      <rPr>
        <sz val="16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(Harmony with Members) –</t>
    </r>
    <r>
      <rPr>
        <sz val="14"/>
        <color theme="1"/>
        <rFont val="FONTASY_HIMALI_TT"/>
        <family val="5"/>
      </rPr>
      <t>20</t>
    </r>
  </si>
  <si>
    <t>cu|tf k"0f{ v'nf;f, ;'emfj Pj+ u'gf;f] ;Daf]wg ;lxtsf] ;b:o ;]jf</t>
  </si>
  <si>
    <t>;fsf];sf] k"FhLut;+/rgf -;+:yfksLo ;/f]sf/_</t>
  </si>
  <si>
    <t>;b:ox?sf] lqmoflzntf / ;xeflutf -;+rfnlso ;lqmotf_</t>
  </si>
  <si>
    <t>;b:ox?sf] ;]jf pkof]u -;+/IfsLo ;+aGwg_</t>
  </si>
  <si>
    <t>;b:o ;'/Iff tyf x]/rfx</t>
  </si>
  <si>
    <t>lg/Gt/ ;b:o lzIff sfo{qmd</t>
  </si>
  <si>
    <t>hDdf</t>
  </si>
  <si>
    <r>
      <rPr>
        <sz val="16"/>
        <color theme="1"/>
        <rFont val="Preeti"/>
      </rPr>
      <t>;+:yfut ljsf; tyf hf]lvd Joj:yfkg -</t>
    </r>
    <r>
      <rPr>
        <sz val="12"/>
        <color theme="1"/>
        <rFont val="Calibri"/>
        <family val="2"/>
        <scheme val="minor"/>
      </rPr>
      <t xml:space="preserve">Institutional Development &amp; Risk Management) – </t>
    </r>
    <r>
      <rPr>
        <sz val="12"/>
        <color theme="1"/>
        <rFont val="FONTASY_HIMALI_TT"/>
        <family val="5"/>
      </rPr>
      <t>10</t>
    </r>
  </si>
  <si>
    <t>;fsf]; ;+rfngsf cfwf/e't gLlt tyf sfo{ljwLx?</t>
  </si>
  <si>
    <t>of]hgf lgdf{0f, sfof{Gjog / ;ldIff</t>
  </si>
  <si>
    <t>;+/rgfut k|efjsfl/tfsf nflu l;sfO{ / j[l4</t>
  </si>
  <si>
    <t>;]jfx?sf] d"No lgwf{/0f tyf gofF ;]jfsf] ljsf;</t>
  </si>
  <si>
    <t>hf]lvd, åGå tyf ljkb\ Joj:yfkg ;+oGqsf] lgdf{0f</t>
  </si>
  <si>
    <t xml:space="preserve">hf]vLd ef/Lt ;DktL / k"lh k|of{Kttf dfkg </t>
  </si>
  <si>
    <t xml:space="preserve">;xsf/L ;~hfn / l:y/Ls/0f sf]ifdf ;xefuLtf, k|ltlss/0fsf] dgl:ytL </t>
  </si>
  <si>
    <r>
      <rPr>
        <sz val="16"/>
        <color theme="1"/>
        <rFont val="Preeti"/>
      </rPr>
      <t>Joj:yfkg tyf of]hgf</t>
    </r>
    <r>
      <rPr>
        <sz val="13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(Management &amp; Planing)</t>
    </r>
    <r>
      <rPr>
        <sz val="13"/>
        <color theme="1"/>
        <rFont val="Calibri"/>
        <family val="2"/>
        <scheme val="minor"/>
      </rPr>
      <t xml:space="preserve">  – </t>
    </r>
    <r>
      <rPr>
        <sz val="13"/>
        <color theme="1"/>
        <rFont val="FONTASY_HIMALI_TT"/>
        <family val="5"/>
      </rPr>
      <t>10</t>
    </r>
  </si>
  <si>
    <t>dfgj ;+zfwg Joj:yfkg k|0ffnL, ;Ifdtf ljsf; / pQ/flwsf/ of]hgf</t>
  </si>
  <si>
    <t>sd{rf/Lx?sf] pTkfbsTj Ifdtf / uf]klgotf, k|lt sd{rf/L C0f kl/rfng cj:yf</t>
  </si>
  <si>
    <t xml:space="preserve">kx'Frof]Uo, ;'/lIft sfof{no jftfj/0f </t>
  </si>
  <si>
    <t>gljgtd k|ljlwsf] cjnDjg, cltl/Qm ;do ;]jf ljsf;</t>
  </si>
  <si>
    <t>cfGtl/s ;+rf/ tyf clen]v Joj:yfkg</t>
  </si>
  <si>
    <r>
      <t xml:space="preserve">hjfkmb]lxtf / ;'zf;g </t>
    </r>
    <r>
      <rPr>
        <sz val="14"/>
        <color theme="1"/>
        <rFont val="Calibri"/>
        <family val="2"/>
        <scheme val="minor"/>
      </rPr>
      <t>(Accountability &amp; Good Governance )</t>
    </r>
    <r>
      <rPr>
        <sz val="16"/>
        <color theme="1"/>
        <rFont val="Preeti"/>
      </rPr>
      <t xml:space="preserve"> –</t>
    </r>
    <r>
      <rPr>
        <sz val="16"/>
        <color theme="1"/>
        <rFont val="FONTASY_HIMALI_TT"/>
        <family val="5"/>
      </rPr>
      <t>5</t>
    </r>
  </si>
  <si>
    <t>;'zf;g cj:yf</t>
  </si>
  <si>
    <t>hfgsf/ Pj+ k|ltj4 ;+rfns ;ldlt</t>
  </si>
  <si>
    <t>cfGtl/s n]vf k/LIf0f k4tLsf] k|efjsf/Ltf</t>
  </si>
  <si>
    <t>;fdflhs tyf jftfj/0fLo pQ/ bfloTj ;DaGwL sfo{qmd</t>
  </si>
  <si>
    <r>
      <rPr>
        <sz val="16"/>
        <color rgb="FF000000"/>
        <rFont val="Preeti"/>
      </rPr>
      <t>sfg'gL bfloTj</t>
    </r>
    <r>
      <rPr>
        <sz val="16"/>
        <color rgb="FF000000"/>
        <rFont val="Calibri"/>
        <family val="2"/>
        <scheme val="minor"/>
      </rPr>
      <t xml:space="preserve"> </t>
    </r>
    <r>
      <rPr>
        <sz val="14"/>
        <color rgb="FF000000"/>
        <rFont val="Calibri"/>
        <family val="2"/>
        <scheme val="minor"/>
      </rPr>
      <t>(Legitimacy)</t>
    </r>
    <r>
      <rPr>
        <sz val="15"/>
        <color rgb="FF000000"/>
        <rFont val="Calibri"/>
        <family val="2"/>
        <scheme val="minor"/>
      </rPr>
      <t xml:space="preserve"> – </t>
    </r>
    <r>
      <rPr>
        <sz val="15"/>
        <color rgb="FF000000"/>
        <rFont val="FONTASY_HIMALI_TT"/>
        <family val="5"/>
      </rPr>
      <t>5</t>
    </r>
  </si>
  <si>
    <t>;xsf/L P]g sfg'gx?sf] kl/kfngf, sf]kf]ld;sf] k|of]u</t>
  </si>
  <si>
    <t>cfos/, &gt;d P]g, tyf cGo ;fdfGo sfg'g kfngf tyf k|ltj]bgx? tof/L tyf ;Dk]|if0f</t>
  </si>
  <si>
    <t>;DklQ z'l4s/0f P]g sfg'g tyf lgb]{zgsf] kl/kfngf</t>
  </si>
  <si>
    <r>
      <rPr>
        <b/>
        <sz val="16"/>
        <color rgb="FF000000"/>
        <rFont val="Preeti"/>
      </rPr>
      <t>hDdf</t>
    </r>
    <r>
      <rPr>
        <b/>
        <sz val="13"/>
        <color rgb="FF000000"/>
        <rFont val="Preeti"/>
      </rPr>
      <t xml:space="preserve"> </t>
    </r>
    <r>
      <rPr>
        <b/>
        <sz val="13"/>
        <color rgb="FF000000"/>
        <rFont val="Times New Roman"/>
        <family val="1"/>
      </rPr>
      <t>HIMAL</t>
    </r>
  </si>
  <si>
    <r>
      <rPr>
        <b/>
        <sz val="17"/>
        <color rgb="FF000000"/>
        <rFont val="Preeti"/>
      </rPr>
      <t>hDdf</t>
    </r>
    <r>
      <rPr>
        <b/>
        <sz val="15"/>
        <color rgb="FF000000"/>
        <rFont val="Times New Roman"/>
        <family val="1"/>
      </rPr>
      <t xml:space="preserve"> (PEARLS+HIMAL)</t>
    </r>
  </si>
  <si>
    <t>yk ;'emfjx? M</t>
  </si>
  <si>
    <t>tof/ ug]{</t>
  </si>
  <si>
    <t>?h' ug]{</t>
  </si>
  <si>
    <t xml:space="preserve">k|dfl0ft ug]{ </t>
  </si>
  <si>
    <t>x:tfIf/ M</t>
  </si>
  <si>
    <t>gfd M</t>
  </si>
  <si>
    <t xml:space="preserve">gfd M </t>
  </si>
  <si>
    <t>kb M</t>
  </si>
  <si>
    <t xml:space="preserve">kb M </t>
  </si>
  <si>
    <t>ldlt M</t>
  </si>
  <si>
    <t xml:space="preserve">ldlt M </t>
  </si>
  <si>
    <t xml:space="preserve">P1- खराब ऋणमा सुरक्षण पर्याप्तता </t>
  </si>
  <si>
    <t xml:space="preserve">P2x1-शंकास्पद ऋणमा सुरक्षण पर्याप्तता </t>
  </si>
  <si>
    <t>P2x2-कमसल ऋणमा सुरक्षण पर्याप्तता</t>
  </si>
  <si>
    <t>P2x3-सक्रीय ऋणमा सुरक्षण पर्याप्तता</t>
  </si>
  <si>
    <t>P3</t>
  </si>
  <si>
    <t>P5</t>
  </si>
  <si>
    <t xml:space="preserve">अपलेखनमा गरिएको असुल हुन बाँकी ऋण रकम </t>
  </si>
  <si>
    <t xml:space="preserve">P5- अपलेखन गरिएको ऋण असुली प्रतिशत </t>
  </si>
  <si>
    <t xml:space="preserve">P4- अपलेखन गरिएको ऋण रकम </t>
  </si>
  <si>
    <t xml:space="preserve">अपलेखन गरिएको ऋणमध्ये असुल भएको ऋण </t>
  </si>
  <si>
    <t>Write off Delinquent Loans %</t>
  </si>
  <si>
    <t>100% of Bad Loan</t>
  </si>
  <si>
    <t xml:space="preserve">Accumulated Recovered Charge offs </t>
  </si>
  <si>
    <r>
      <t xml:space="preserve">E2 </t>
    </r>
    <r>
      <rPr>
        <sz val="13"/>
        <color rgb="FF000000"/>
        <rFont val="Preeti"/>
      </rPr>
      <t xml:space="preserve">s"n ;DklQsf] cg'kftdf t/n nufgL </t>
    </r>
  </si>
  <si>
    <r>
      <t xml:space="preserve">E3- </t>
    </r>
    <r>
      <rPr>
        <sz val="13"/>
        <color rgb="FF000000"/>
        <rFont val="Preeti"/>
      </rPr>
      <t>s"n ;DklQsf] cg'kftdf ljQLo nufgL</t>
    </r>
  </si>
  <si>
    <r>
      <t xml:space="preserve">R2 </t>
    </r>
    <r>
      <rPr>
        <sz val="13"/>
        <color rgb="FF000000"/>
        <rFont val="Preeti"/>
      </rPr>
      <t>cf}ift t/n nufgLsf] cg'kftdf k|fKt cfDbfgL</t>
    </r>
  </si>
  <si>
    <r>
      <t xml:space="preserve">R3- </t>
    </r>
    <r>
      <rPr>
        <sz val="13"/>
        <color rgb="FF000000"/>
        <rFont val="Preeti"/>
      </rPr>
      <t xml:space="preserve">cf}ift ljQLo nufgLdf k|fKt cfDbfgL </t>
    </r>
  </si>
  <si>
    <t>Asar Audit of Last Year</t>
  </si>
  <si>
    <r>
      <t xml:space="preserve">R5 </t>
    </r>
    <r>
      <rPr>
        <sz val="13"/>
        <color rgb="FF000000"/>
        <rFont val="Preeti"/>
      </rPr>
      <t>cf}ift artsf] cg'kftdf artdf lt/]sf] Aofh vr{</t>
    </r>
  </si>
  <si>
    <r>
      <t xml:space="preserve">R6  </t>
    </r>
    <r>
      <rPr>
        <sz val="13"/>
        <color rgb="FF000000"/>
        <rFont val="Preeti"/>
      </rPr>
      <t>cf}ift afXo C0fsf] cg'kftdf afXo C0fdf lt/]sf] Aofh vr{</t>
    </r>
  </si>
  <si>
    <r>
      <t>२०८१</t>
    </r>
    <r>
      <rPr>
        <sz val="11"/>
        <color theme="1"/>
        <rFont val="Calibri"/>
        <family val="2"/>
      </rPr>
      <t>-</t>
    </r>
    <r>
      <rPr>
        <sz val="10.55"/>
        <color theme="1"/>
        <rFont val="Calibri"/>
        <family val="2"/>
      </rPr>
      <t>२०८२</t>
    </r>
    <r>
      <rPr>
        <sz val="11"/>
        <color theme="1"/>
        <rFont val="Calibri"/>
        <family val="2"/>
        <scheme val="minor"/>
      </rPr>
      <t xml:space="preserve"> को साधारण सभामा निर्णय भएको शेयर लाभाशं प्रतिशत </t>
    </r>
  </si>
  <si>
    <t xml:space="preserve">२०८२ श्रावण पछि सम्पन्न भएको साधारण सभामा निर्णय भएको शेयर लाभाशं प्रतिशत </t>
  </si>
  <si>
    <t>(यदि साधारण सभा सम्पन्न भइनसकेको भए शेयर लाभाशंको रकम राख्नुहोस् )</t>
  </si>
  <si>
    <t>कुल बचतको ३५ प्रतिशत</t>
  </si>
  <si>
    <t xml:space="preserve">तथस्ट श्रोत संयोग समायोजनको रकम </t>
  </si>
  <si>
    <t xml:space="preserve">संस्थापकीय सरोकार </t>
  </si>
  <si>
    <t>a. शेयर रकम</t>
  </si>
  <si>
    <t>b. जगेडा कोष</t>
  </si>
  <si>
    <t>c. घाटापूर्ति कोष</t>
  </si>
  <si>
    <t>d. सदस्यको पूँजी (a+b+c)</t>
  </si>
  <si>
    <t>e. नियमित बचत</t>
  </si>
  <si>
    <t>f. कुल बचत</t>
  </si>
  <si>
    <t>Numerator ( सदस्यको पूँजी + नियमित बचत)</t>
  </si>
  <si>
    <t xml:space="preserve">Denominator(सदस्यको पूँजी ‌+ कुल बचत+तिर्नुपर्ने बाह्य ऋण+तटस्थ श्रोत संयोग विन्दु समायोजन रकम </t>
  </si>
  <si>
    <t xml:space="preserve">बाह्य ऋण </t>
  </si>
  <si>
    <t xml:space="preserve">गत आ व मा वर्षभरि भएको विस्तारित मञ्चमा उपस्थित सदस्य संख्या </t>
  </si>
  <si>
    <t xml:space="preserve">सञ्चालकीय सक्रियता </t>
  </si>
  <si>
    <t xml:space="preserve">आ व को शुरुमा रहेको सदस्य संख्या </t>
  </si>
  <si>
    <t>आ व को अन्त्यमा रहेका सदस्य संख्या</t>
  </si>
  <si>
    <t xml:space="preserve">AGM Participation </t>
  </si>
  <si>
    <t>साधारण सभामा उपस्थिति सदस्य संख्या</t>
  </si>
  <si>
    <t xml:space="preserve">विस्तारित मञ्चमा उपस्थिति सदस्य संख्या </t>
  </si>
  <si>
    <t>Numerator वर्षभरिमा कुल उपस्थिति गणना</t>
  </si>
  <si>
    <t>Denominator {(शुरु + अन्तिम सदस्य )/2}*६</t>
  </si>
  <si>
    <t xml:space="preserve">सञ्चालकीय सक्रियता प्रतिशत </t>
  </si>
  <si>
    <t>संरक्षकीय सम्बन्धन</t>
  </si>
  <si>
    <t xml:space="preserve">वर्षको शुरुमा ऋण लिएका सदस्य संख्या </t>
  </si>
  <si>
    <t xml:space="preserve">विवरण संलग्न भएको आर्थिक वर्षमा ऋण प्राप्त गरेका नयाँ सदस्य संख्या </t>
  </si>
  <si>
    <t xml:space="preserve">वर्षको शुरुमा ऋण लिएका सदस्य संख्या ( ऋणी संख्या लेख्नुहोस् । ऋण फाइल संख्या होइन ) </t>
  </si>
  <si>
    <t xml:space="preserve">वर्षभरिमा ऋण प्राप्त गरेका सदस्य संख्या (आ व को शुरुमा ऋण लिएकाले पुन ऋण पाएको भए सो ऋणीलाइ गणनामा समावेश नगर्ने ऋण नलिएकाले ऋण लिएको भए सो मात्र समावेश गर्ने ।  ) </t>
  </si>
  <si>
    <t>Points to be Considered.</t>
  </si>
  <si>
    <t xml:space="preserve">यस सिटमा दुइ खण्डमा सिटहरु छन । </t>
  </si>
  <si>
    <t xml:space="preserve">जसमा Input  लेखिएको छ । ती सिटहरुमा विवरण भर्नुहोस् । जसमा पँहेलो खण्डमा मात्रै भर्नुहोस् । </t>
  </si>
  <si>
    <t xml:space="preserve">अन्य खण्ड नथप्न, इडिट नगर्नुहुन अनुरोध छ । </t>
  </si>
  <si>
    <t>Please fill up Only in Yellow Part. Thank You.</t>
  </si>
  <si>
    <t xml:space="preserve">पहेँलो खण्डमा कुनै विवरण नभए zero मात्रै भए पनि राख्नुहुन अनुरोध छ । ता की विवरणहरु पूर्ण रुपमा भरिएका छन । </t>
  </si>
  <si>
    <t xml:space="preserve">Output हरु </t>
  </si>
  <si>
    <t>Risk Profile</t>
  </si>
  <si>
    <t>Financial Report</t>
  </si>
  <si>
    <t>Balance Sheet</t>
  </si>
  <si>
    <t>PEARLS</t>
  </si>
  <si>
    <t>MCI</t>
  </si>
  <si>
    <t>Input TB</t>
  </si>
  <si>
    <t>Input Loan Ageing</t>
  </si>
  <si>
    <t>Input Additional</t>
  </si>
  <si>
    <t>Input SCAN</t>
  </si>
  <si>
    <t>Input PROBATION Self Evaluation</t>
  </si>
  <si>
    <t xml:space="preserve">goAML Production Environment मा रजिष्ट्रेसन भएको </t>
  </si>
  <si>
    <t xml:space="preserve">वार्षिक सदस्य जोखिमस्तर वर्गिकरण प्रतिवेदन तयार गरेको </t>
  </si>
  <si>
    <t xml:space="preserve">वार्षिक सदस्य जोखिम वर्गिकरण प्रतिवेदन कोपोमिसमा समेत राखेको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</si>
</sst>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00439]0"/>
    <numFmt numFmtId="165" formatCode="[$-4000000]yyyy/mm/dd"/>
    <numFmt numFmtId="166" formatCode="0.0"/>
  </numFmts>
  <fonts count="62" x14ac:knownFonts="1">
    <font>
      <sz val="11"/>
      <color theme="1"/>
      <name val="Calibri"/>
      <family val="2"/>
      <scheme val="minor"/>
    </font>
    <font>
      <sz val="14"/>
      <color theme="1"/>
      <name val="Kokil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name val="Calibri"/>
    </font>
    <font>
      <sz val="12"/>
      <color theme="1"/>
      <name val="Aptos"/>
      <family val="2"/>
    </font>
    <font>
      <sz val="10"/>
      <color theme="1"/>
      <name val="Calibri"/>
      <family val="2"/>
      <scheme val="minor"/>
    </font>
    <font>
      <sz val="11"/>
      <color theme="1"/>
      <name val="Fontasy Himali"/>
      <family val="5"/>
    </font>
    <font>
      <sz val="10"/>
      <color theme="1"/>
      <name val="Fontasy Himali"/>
      <family val="5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0"/>
      <color theme="1"/>
      <name val="Preeti"/>
    </font>
    <font>
      <sz val="18"/>
      <color theme="1"/>
      <name val="Preeti"/>
    </font>
    <font>
      <b/>
      <sz val="18"/>
      <color theme="1"/>
      <name val="Preeti"/>
    </font>
    <font>
      <b/>
      <u/>
      <sz val="20"/>
      <color theme="1"/>
      <name val="Preeti"/>
    </font>
    <font>
      <b/>
      <u/>
      <sz val="17"/>
      <color theme="1"/>
      <name val="Times New Roman"/>
      <family val="1"/>
    </font>
    <font>
      <b/>
      <u/>
      <sz val="15"/>
      <color theme="1"/>
      <name val="Preeti"/>
    </font>
    <font>
      <b/>
      <sz val="15"/>
      <color theme="1"/>
      <name val="Preeti"/>
    </font>
    <font>
      <sz val="14"/>
      <color theme="1"/>
      <name val="Preeti"/>
    </font>
    <font>
      <b/>
      <sz val="16"/>
      <color theme="1"/>
      <name val="Preeti"/>
    </font>
    <font>
      <b/>
      <sz val="14"/>
      <color theme="1"/>
      <name val="Preeti"/>
    </font>
    <font>
      <sz val="16"/>
      <color theme="1"/>
      <name val="Calibri"/>
      <family val="2"/>
      <scheme val="minor"/>
    </font>
    <font>
      <sz val="16"/>
      <color theme="1"/>
      <name val="FONTASY_HIMALI_TT"/>
      <family val="5"/>
    </font>
    <font>
      <sz val="18"/>
      <color theme="1"/>
      <name val="Calibri"/>
      <family val="2"/>
      <scheme val="minor"/>
    </font>
    <font>
      <sz val="10"/>
      <color rgb="FF000000"/>
      <name val="Fontasy Himali"/>
      <family val="5"/>
    </font>
    <font>
      <sz val="13"/>
      <color theme="1"/>
      <name val="Calibri"/>
      <family val="2"/>
      <scheme val="minor"/>
    </font>
    <font>
      <sz val="13"/>
      <color theme="1"/>
      <name val="Preeti"/>
    </font>
    <font>
      <sz val="11"/>
      <color rgb="FF000000"/>
      <name val="Fontasy Himali"/>
      <family val="5"/>
    </font>
    <font>
      <sz val="13"/>
      <color rgb="FF000000"/>
      <name val="Preeti"/>
    </font>
    <font>
      <sz val="13"/>
      <color rgb="FF000000"/>
      <name val="Calibri"/>
      <family val="2"/>
      <scheme val="minor"/>
    </font>
    <font>
      <sz val="13"/>
      <color rgb="FF000000"/>
      <name val="Himalb"/>
    </font>
    <font>
      <b/>
      <sz val="13"/>
      <color rgb="FF000000"/>
      <name val="Preeti"/>
    </font>
    <font>
      <b/>
      <sz val="13"/>
      <color rgb="FF000000"/>
      <name val="Times New Roman"/>
      <family val="1"/>
    </font>
    <font>
      <b/>
      <sz val="10"/>
      <color rgb="FF000000"/>
      <name val="Fontasy Himali"/>
      <family val="5"/>
    </font>
    <font>
      <b/>
      <sz val="14"/>
      <color rgb="FF000000"/>
      <name val="Preeti"/>
    </font>
    <font>
      <sz val="14"/>
      <color theme="1"/>
      <name val="Calibri"/>
      <family val="2"/>
      <scheme val="minor"/>
    </font>
    <font>
      <sz val="16"/>
      <color theme="1"/>
      <name val="Preeti"/>
    </font>
    <font>
      <sz val="14"/>
      <color theme="1"/>
      <name val="FONTASY_HIMALI_TT"/>
      <family val="5"/>
    </font>
    <font>
      <sz val="12"/>
      <color theme="1"/>
      <name val="Calibri"/>
      <family val="2"/>
      <scheme val="minor"/>
    </font>
    <font>
      <sz val="12"/>
      <color theme="1"/>
      <name val="FONTASY_HIMALI_TT"/>
      <family val="5"/>
    </font>
    <font>
      <sz val="9"/>
      <color rgb="FF000000"/>
      <name val="Fontasy Himali"/>
      <family val="5"/>
    </font>
    <font>
      <sz val="9"/>
      <color theme="1"/>
      <name val="Fontasy Himali"/>
      <family val="5"/>
    </font>
    <font>
      <sz val="13"/>
      <color theme="1"/>
      <name val="FONTASY_HIMALI_TT"/>
      <family val="5"/>
    </font>
    <font>
      <sz val="15"/>
      <color rgb="FF000000"/>
      <name val="Preeti"/>
    </font>
    <font>
      <sz val="16"/>
      <color rgb="FF000000"/>
      <name val="Preeti"/>
    </font>
    <font>
      <sz val="16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5"/>
      <color rgb="FF000000"/>
      <name val="Calibri"/>
      <family val="2"/>
      <scheme val="minor"/>
    </font>
    <font>
      <sz val="15"/>
      <color rgb="FF000000"/>
      <name val="FONTASY_HIMALI_TT"/>
      <family val="5"/>
    </font>
    <font>
      <b/>
      <sz val="16"/>
      <color rgb="FF000000"/>
      <name val="Preeti"/>
    </font>
    <font>
      <sz val="14"/>
      <color rgb="FF000000"/>
      <name val="Fontasy Himali"/>
      <family val="5"/>
    </font>
    <font>
      <b/>
      <sz val="15"/>
      <color rgb="FF000000"/>
      <name val="Preeti"/>
    </font>
    <font>
      <b/>
      <sz val="17"/>
      <color rgb="FF000000"/>
      <name val="Preeti"/>
    </font>
    <font>
      <b/>
      <sz val="15"/>
      <color rgb="FF000000"/>
      <name val="Times New Roman"/>
      <family val="1"/>
    </font>
    <font>
      <sz val="15"/>
      <color rgb="FF000000"/>
      <name val="Fontasy Himali"/>
      <family val="5"/>
    </font>
    <font>
      <sz val="15"/>
      <color theme="1"/>
      <name val="Preeti"/>
    </font>
    <font>
      <b/>
      <u/>
      <sz val="14"/>
      <color theme="1"/>
      <name val="Preeti"/>
    </font>
    <font>
      <sz val="10.55"/>
      <color theme="1"/>
      <name val="Calibri"/>
      <family val="2"/>
    </font>
    <font>
      <sz val="12"/>
      <color rgb="FF000000"/>
      <name val="Calibri Light"/>
      <family val="1"/>
      <scheme val="maj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C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2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9" fontId="0" fillId="0" borderId="1" xfId="0" applyNumberFormat="1" applyBorder="1" applyAlignment="1">
      <alignment wrapText="1"/>
    </xf>
    <xf numFmtId="0" fontId="0" fillId="0" borderId="3" xfId="0" applyBorder="1" applyAlignment="1">
      <alignment vertical="center" wrapText="1"/>
    </xf>
    <xf numFmtId="9" fontId="0" fillId="0" borderId="1" xfId="0" applyNumberFormat="1" applyBorder="1"/>
    <xf numFmtId="0" fontId="0" fillId="0" borderId="0" xfId="0" applyAlignment="1">
      <alignment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0" fillId="0" borderId="1" xfId="0" applyNumberFormat="1" applyBorder="1"/>
    <xf numFmtId="0" fontId="1" fillId="0" borderId="1" xfId="0" applyFont="1" applyBorder="1" applyAlignment="1">
      <alignment horizontal="left"/>
    </xf>
    <xf numFmtId="0" fontId="0" fillId="2" borderId="0" xfId="0" applyFill="1"/>
    <xf numFmtId="16" fontId="0" fillId="0" borderId="0" xfId="0" applyNumberFormat="1"/>
    <xf numFmtId="2" fontId="0" fillId="0" borderId="0" xfId="0" applyNumberFormat="1"/>
    <xf numFmtId="0" fontId="7" fillId="0" borderId="0" xfId="0" applyFont="1"/>
    <xf numFmtId="0" fontId="0" fillId="2" borderId="1" xfId="0" applyFill="1" applyBorder="1"/>
    <xf numFmtId="0" fontId="0" fillId="0" borderId="1" xfId="0" applyBorder="1" applyAlignment="1">
      <alignment horizontal="left"/>
    </xf>
    <xf numFmtId="0" fontId="1" fillId="4" borderId="1" xfId="0" applyFont="1" applyFill="1" applyBorder="1"/>
    <xf numFmtId="0" fontId="1" fillId="4" borderId="3" xfId="0" applyFont="1" applyFill="1" applyBorder="1"/>
    <xf numFmtId="0" fontId="0" fillId="4" borderId="0" xfId="0" applyFill="1"/>
    <xf numFmtId="0" fontId="0" fillId="4" borderId="1" xfId="0" applyFill="1" applyBorder="1"/>
    <xf numFmtId="2" fontId="1" fillId="4" borderId="1" xfId="0" applyNumberFormat="1" applyFont="1" applyFill="1" applyBorder="1"/>
    <xf numFmtId="0" fontId="1" fillId="5" borderId="1" xfId="0" applyFont="1" applyFill="1" applyBorder="1"/>
    <xf numFmtId="0" fontId="4" fillId="5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2" fillId="5" borderId="1" xfId="0" applyFont="1" applyFill="1" applyBorder="1"/>
    <xf numFmtId="0" fontId="0" fillId="2" borderId="3" xfId="0" applyFill="1" applyBorder="1"/>
    <xf numFmtId="0" fontId="1" fillId="0" borderId="1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9" fontId="0" fillId="0" borderId="0" xfId="0" applyNumberFormat="1"/>
    <xf numFmtId="0" fontId="8" fillId="0" borderId="0" xfId="0" applyFont="1"/>
    <xf numFmtId="0" fontId="8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6" borderId="1" xfId="0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8" fillId="8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0" fillId="8" borderId="1" xfId="0" applyNumberFormat="1" applyFill="1" applyBorder="1" applyAlignment="1">
      <alignment vertical="center"/>
    </xf>
    <xf numFmtId="0" fontId="10" fillId="8" borderId="1" xfId="0" applyFont="1" applyFill="1" applyBorder="1" applyAlignment="1">
      <alignment vertical="center"/>
    </xf>
    <xf numFmtId="164" fontId="10" fillId="8" borderId="1" xfId="0" applyNumberFormat="1" applyFont="1" applyFill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164" fontId="8" fillId="8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0" fillId="2" borderId="1" xfId="0" applyFill="1" applyBorder="1" applyAlignment="1">
      <alignment wrapText="1"/>
    </xf>
    <xf numFmtId="165" fontId="0" fillId="2" borderId="0" xfId="0" applyNumberForma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vertical="center" wrapText="1"/>
    </xf>
    <xf numFmtId="0" fontId="4" fillId="0" borderId="12" xfId="0" applyFont="1" applyBorder="1" applyAlignment="1">
      <alignment horizontal="right" wrapText="1"/>
    </xf>
    <xf numFmtId="0" fontId="4" fillId="0" borderId="13" xfId="0" applyFont="1" applyBorder="1" applyAlignment="1">
      <alignment wrapText="1"/>
    </xf>
    <xf numFmtId="0" fontId="3" fillId="0" borderId="12" xfId="0" applyFont="1" applyBorder="1" applyAlignment="1">
      <alignment horizontal="right" wrapText="1"/>
    </xf>
    <xf numFmtId="0" fontId="3" fillId="0" borderId="13" xfId="0" applyFont="1" applyBorder="1" applyAlignment="1">
      <alignment wrapText="1"/>
    </xf>
    <xf numFmtId="0" fontId="3" fillId="0" borderId="13" xfId="0" applyFont="1" applyBorder="1" applyAlignment="1">
      <alignment vertical="center" wrapText="1"/>
    </xf>
    <xf numFmtId="0" fontId="0" fillId="0" borderId="12" xfId="0" applyBorder="1"/>
    <xf numFmtId="0" fontId="0" fillId="0" borderId="13" xfId="0" applyBorder="1"/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/>
    <xf numFmtId="0" fontId="0" fillId="0" borderId="14" xfId="0" applyBorder="1"/>
    <xf numFmtId="0" fontId="2" fillId="0" borderId="15" xfId="0" applyFont="1" applyBorder="1"/>
    <xf numFmtId="0" fontId="2" fillId="0" borderId="16" xfId="0" applyFont="1" applyBorder="1"/>
    <xf numFmtId="165" fontId="0" fillId="0" borderId="0" xfId="0" applyNumberFormat="1"/>
    <xf numFmtId="0" fontId="5" fillId="0" borderId="12" xfId="0" applyFont="1" applyBorder="1" applyAlignment="1">
      <alignment horizontal="right" wrapText="1"/>
    </xf>
    <xf numFmtId="0" fontId="5" fillId="0" borderId="13" xfId="0" applyFont="1" applyBorder="1" applyAlignment="1">
      <alignment vertical="center" wrapText="1"/>
    </xf>
    <xf numFmtId="0" fontId="2" fillId="0" borderId="12" xfId="0" applyFont="1" applyBorder="1"/>
    <xf numFmtId="0" fontId="0" fillId="0" borderId="15" xfId="0" applyBorder="1"/>
    <xf numFmtId="0" fontId="0" fillId="0" borderId="16" xfId="0" applyBorder="1"/>
    <xf numFmtId="0" fontId="1" fillId="0" borderId="6" xfId="0" applyFont="1" applyBorder="1" applyAlignment="1">
      <alignment wrapText="1"/>
    </xf>
    <xf numFmtId="0" fontId="1" fillId="0" borderId="4" xfId="0" applyFont="1" applyBorder="1"/>
    <xf numFmtId="0" fontId="0" fillId="0" borderId="17" xfId="0" applyBorder="1" applyAlignment="1">
      <alignment horizontal="center" wrapText="1"/>
    </xf>
    <xf numFmtId="0" fontId="11" fillId="0" borderId="0" xfId="1" applyAlignment="1">
      <alignment wrapText="1"/>
    </xf>
    <xf numFmtId="0" fontId="20" fillId="0" borderId="0" xfId="0" applyFont="1" applyAlignment="1">
      <alignment horizontal="left"/>
    </xf>
    <xf numFmtId="0" fontId="21" fillId="9" borderId="1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justify" vertical="center" wrapText="1"/>
    </xf>
    <xf numFmtId="0" fontId="36" fillId="12" borderId="1" xfId="0" applyFont="1" applyFill="1" applyBorder="1" applyAlignment="1">
      <alignment horizontal="center" wrapText="1"/>
    </xf>
    <xf numFmtId="0" fontId="37" fillId="12" borderId="1" xfId="0" applyFont="1" applyFill="1" applyBorder="1" applyAlignment="1">
      <alignment wrapText="1"/>
    </xf>
    <xf numFmtId="0" fontId="31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27" fillId="12" borderId="1" xfId="0" applyFont="1" applyFill="1" applyBorder="1" applyAlignment="1">
      <alignment horizontal="center" wrapText="1"/>
    </xf>
    <xf numFmtId="0" fontId="29" fillId="12" borderId="1" xfId="0" applyFont="1" applyFill="1" applyBorder="1" applyAlignment="1">
      <alignment wrapText="1"/>
    </xf>
    <xf numFmtId="0" fontId="29" fillId="4" borderId="1" xfId="0" applyFont="1" applyFill="1" applyBorder="1" applyAlignment="1">
      <alignment horizontal="center" wrapText="1"/>
    </xf>
    <xf numFmtId="0" fontId="29" fillId="4" borderId="1" xfId="0" applyFont="1" applyFill="1" applyBorder="1" applyAlignment="1">
      <alignment vertical="center" wrapText="1"/>
    </xf>
    <xf numFmtId="0" fontId="31" fillId="0" borderId="1" xfId="0" applyFont="1" applyBorder="1" applyAlignment="1">
      <alignment wrapText="1"/>
    </xf>
    <xf numFmtId="0" fontId="27" fillId="12" borderId="1" xfId="0" applyFont="1" applyFill="1" applyBorder="1" applyAlignment="1">
      <alignment horizontal="center" vertical="center" wrapText="1"/>
    </xf>
    <xf numFmtId="0" fontId="31" fillId="12" borderId="1" xfId="0" applyFont="1" applyFill="1" applyBorder="1" applyAlignment="1">
      <alignment wrapText="1"/>
    </xf>
    <xf numFmtId="0" fontId="53" fillId="13" borderId="1" xfId="0" applyFont="1" applyFill="1" applyBorder="1" applyAlignment="1">
      <alignment horizontal="center" wrapText="1"/>
    </xf>
    <xf numFmtId="0" fontId="29" fillId="13" borderId="1" xfId="0" applyFont="1" applyFill="1" applyBorder="1" applyAlignment="1">
      <alignment wrapText="1"/>
    </xf>
    <xf numFmtId="0" fontId="57" fillId="14" borderId="1" xfId="0" applyFont="1" applyFill="1" applyBorder="1" applyAlignment="1">
      <alignment horizontal="center" wrapText="1"/>
    </xf>
    <xf numFmtId="0" fontId="58" fillId="14" borderId="1" xfId="0" applyFont="1" applyFill="1" applyBorder="1" applyAlignment="1">
      <alignment wrapText="1"/>
    </xf>
    <xf numFmtId="0" fontId="23" fillId="0" borderId="22" xfId="0" applyFont="1" applyBorder="1" applyAlignment="1">
      <alignment vertical="center"/>
    </xf>
    <xf numFmtId="0" fontId="21" fillId="0" borderId="21" xfId="0" applyFont="1" applyBorder="1"/>
    <xf numFmtId="0" fontId="21" fillId="0" borderId="0" xfId="0" applyFont="1"/>
    <xf numFmtId="0" fontId="21" fillId="0" borderId="22" xfId="0" applyFont="1" applyBorder="1"/>
    <xf numFmtId="0" fontId="21" fillId="0" borderId="23" xfId="0" applyFont="1" applyBorder="1"/>
    <xf numFmtId="0" fontId="21" fillId="0" borderId="17" xfId="0" applyFont="1" applyBorder="1"/>
    <xf numFmtId="0" fontId="0" fillId="0" borderId="17" xfId="0" applyBorder="1"/>
    <xf numFmtId="0" fontId="21" fillId="0" borderId="24" xfId="0" applyFont="1" applyBorder="1"/>
    <xf numFmtId="0" fontId="30" fillId="4" borderId="1" xfId="2" applyNumberFormat="1" applyFont="1" applyFill="1" applyBorder="1" applyAlignment="1">
      <alignment vertical="center" wrapText="1"/>
    </xf>
    <xf numFmtId="0" fontId="61" fillId="0" borderId="1" xfId="0" applyFont="1" applyBorder="1" applyAlignment="1">
      <alignment horizontal="justify" vertical="center" wrapText="1"/>
    </xf>
    <xf numFmtId="0" fontId="30" fillId="4" borderId="1" xfId="0" applyFont="1" applyFill="1" applyBorder="1" applyAlignment="1">
      <alignment vertical="center" wrapText="1"/>
    </xf>
    <xf numFmtId="2" fontId="30" fillId="4" borderId="1" xfId="0" applyNumberFormat="1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" fillId="0" borderId="0" xfId="0" applyFont="1"/>
    <xf numFmtId="0" fontId="0" fillId="0" borderId="25" xfId="0" applyBorder="1" applyAlignment="1">
      <alignment wrapText="1"/>
    </xf>
    <xf numFmtId="166" fontId="0" fillId="0" borderId="1" xfId="0" applyNumberFormat="1" applyBorder="1"/>
    <xf numFmtId="0" fontId="0" fillId="5" borderId="1" xfId="0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0" fillId="5" borderId="1" xfId="0" applyFill="1" applyBorder="1"/>
    <xf numFmtId="2" fontId="1" fillId="5" borderId="1" xfId="0" applyNumberFormat="1" applyFont="1" applyFill="1" applyBorder="1"/>
    <xf numFmtId="0" fontId="11" fillId="0" borderId="0" xfId="1"/>
    <xf numFmtId="0" fontId="0" fillId="0" borderId="17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25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7" fillId="4" borderId="1" xfId="0" applyFont="1" applyFill="1" applyBorder="1" applyAlignment="1">
      <alignment horizontal="center" vertical="center" wrapText="1"/>
    </xf>
    <xf numFmtId="0" fontId="34" fillId="12" borderId="1" xfId="0" applyFont="1" applyFill="1" applyBorder="1" applyAlignment="1">
      <alignment horizontal="center" vertical="top" wrapText="1"/>
    </xf>
    <xf numFmtId="0" fontId="27" fillId="12" borderId="1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17" xfId="0" applyFont="1" applyBorder="1" applyAlignment="1">
      <alignment horizontal="center"/>
    </xf>
    <xf numFmtId="0" fontId="24" fillId="11" borderId="1" xfId="0" applyFont="1" applyFill="1" applyBorder="1" applyAlignment="1">
      <alignment horizontal="center" vertical="top" wrapText="1"/>
    </xf>
    <xf numFmtId="0" fontId="26" fillId="11" borderId="1" xfId="0" applyFont="1" applyFill="1" applyBorder="1" applyAlignment="1">
      <alignment horizontal="center" vertical="top" wrapText="1"/>
    </xf>
    <xf numFmtId="0" fontId="38" fillId="11" borderId="1" xfId="0" applyFont="1" applyFill="1" applyBorder="1" applyAlignment="1">
      <alignment horizontal="center" vertical="top" wrapText="1"/>
    </xf>
    <xf numFmtId="0" fontId="41" fillId="10" borderId="1" xfId="0" applyFont="1" applyFill="1" applyBorder="1" applyAlignment="1">
      <alignment horizontal="center" vertical="top" wrapText="1"/>
    </xf>
    <xf numFmtId="0" fontId="43" fillId="4" borderId="1" xfId="0" applyFont="1" applyFill="1" applyBorder="1" applyAlignment="1">
      <alignment horizontal="center" vertical="center" wrapText="1"/>
    </xf>
    <xf numFmtId="0" fontId="44" fillId="4" borderId="1" xfId="0" applyFont="1" applyFill="1" applyBorder="1" applyAlignment="1">
      <alignment horizontal="center" vertical="center" wrapText="1"/>
    </xf>
    <xf numFmtId="0" fontId="28" fillId="9" borderId="1" xfId="0" applyFont="1" applyFill="1" applyBorder="1" applyAlignment="1">
      <alignment horizontal="center" wrapText="1"/>
    </xf>
    <xf numFmtId="0" fontId="39" fillId="9" borderId="1" xfId="0" applyFont="1" applyFill="1" applyBorder="1" applyAlignment="1">
      <alignment horizontal="center" wrapText="1"/>
    </xf>
    <xf numFmtId="0" fontId="21" fillId="9" borderId="1" xfId="0" applyFont="1" applyFill="1" applyBorder="1" applyAlignment="1">
      <alignment horizontal="center" wrapText="1"/>
    </xf>
    <xf numFmtId="0" fontId="46" fillId="9" borderId="1" xfId="0" applyFont="1" applyFill="1" applyBorder="1" applyAlignment="1">
      <alignment horizontal="center" wrapText="1"/>
    </xf>
    <xf numFmtId="0" fontId="59" fillId="0" borderId="18" xfId="0" applyFont="1" applyBorder="1" applyAlignment="1">
      <alignment horizontal="left"/>
    </xf>
    <xf numFmtId="0" fontId="59" fillId="0" borderId="19" xfId="0" applyFont="1" applyBorder="1" applyAlignment="1">
      <alignment horizontal="left"/>
    </xf>
    <xf numFmtId="0" fontId="59" fillId="0" borderId="20" xfId="0" applyFont="1" applyBorder="1" applyAlignment="1">
      <alignment horizontal="left"/>
    </xf>
    <xf numFmtId="0" fontId="23" fillId="0" borderId="21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7" fillId="12" borderId="1" xfId="0" applyFont="1" applyFill="1" applyBorder="1" applyAlignment="1">
      <alignment horizontal="center" vertical="center" wrapText="1"/>
    </xf>
    <xf numFmtId="0" fontId="34" fillId="13" borderId="1" xfId="0" applyFont="1" applyFill="1" applyBorder="1" applyAlignment="1">
      <alignment horizontal="center" vertical="top" wrapText="1"/>
    </xf>
    <xf numFmtId="0" fontId="53" fillId="13" borderId="1" xfId="0" applyFont="1" applyFill="1" applyBorder="1" applyAlignment="1">
      <alignment horizontal="center" wrapText="1"/>
    </xf>
    <xf numFmtId="0" fontId="54" fillId="14" borderId="1" xfId="0" applyFont="1" applyFill="1" applyBorder="1" applyAlignment="1">
      <alignment horizontal="center" vertical="top" wrapText="1"/>
    </xf>
    <xf numFmtId="0" fontId="57" fillId="14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72"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mail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5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E9694-B962-4E37-826C-1D16CAD1A1DC}">
  <dimension ref="B2:D16"/>
  <sheetViews>
    <sheetView workbookViewId="0">
      <selection activeCell="B16" sqref="B16"/>
    </sheetView>
  </sheetViews>
  <sheetFormatPr defaultRowHeight="14.5" x14ac:dyDescent="0.35"/>
  <cols>
    <col min="2" max="2" width="31.7265625" customWidth="1"/>
  </cols>
  <sheetData>
    <row r="2" spans="2:4" x14ac:dyDescent="0.35">
      <c r="B2" t="s">
        <v>749</v>
      </c>
    </row>
    <row r="3" spans="2:4" x14ac:dyDescent="0.35">
      <c r="B3" t="s">
        <v>750</v>
      </c>
    </row>
    <row r="4" spans="2:4" x14ac:dyDescent="0.35">
      <c r="B4" t="s">
        <v>751</v>
      </c>
    </row>
    <row r="5" spans="2:4" x14ac:dyDescent="0.35">
      <c r="B5" t="s">
        <v>754</v>
      </c>
    </row>
    <row r="6" spans="2:4" x14ac:dyDescent="0.35">
      <c r="B6" t="s">
        <v>752</v>
      </c>
    </row>
    <row r="7" spans="2:4" x14ac:dyDescent="0.35">
      <c r="B7" t="s">
        <v>753</v>
      </c>
    </row>
    <row r="9" spans="2:4" x14ac:dyDescent="0.35">
      <c r="B9" t="s">
        <v>545</v>
      </c>
      <c r="D9" t="s">
        <v>755</v>
      </c>
    </row>
    <row r="10" spans="2:4" x14ac:dyDescent="0.35">
      <c r="B10" s="163" t="s">
        <v>761</v>
      </c>
      <c r="D10" t="s">
        <v>756</v>
      </c>
    </row>
    <row r="11" spans="2:4" x14ac:dyDescent="0.35">
      <c r="B11" s="163" t="s">
        <v>762</v>
      </c>
      <c r="D11" t="s">
        <v>757</v>
      </c>
    </row>
    <row r="12" spans="2:4" x14ac:dyDescent="0.35">
      <c r="B12" s="163" t="s">
        <v>763</v>
      </c>
      <c r="D12" t="s">
        <v>758</v>
      </c>
    </row>
    <row r="13" spans="2:4" x14ac:dyDescent="0.35">
      <c r="B13" s="163" t="s">
        <v>764</v>
      </c>
      <c r="D13" t="s">
        <v>189</v>
      </c>
    </row>
    <row r="14" spans="2:4" x14ac:dyDescent="0.35">
      <c r="B14" s="163" t="s">
        <v>765</v>
      </c>
      <c r="D14" t="s">
        <v>348</v>
      </c>
    </row>
    <row r="15" spans="2:4" x14ac:dyDescent="0.35">
      <c r="D15" t="s">
        <v>759</v>
      </c>
    </row>
    <row r="16" spans="2:4" x14ac:dyDescent="0.35">
      <c r="D16" t="s">
        <v>760</v>
      </c>
    </row>
  </sheetData>
  <hyperlinks>
    <hyperlink ref="B10" location="'Input-TB'!A1" display="Input TB" xr:uid="{AA6A4058-CDE3-4E26-AF00-0408E8580C9B}"/>
    <hyperlink ref="B11" location="'Input-Loan Ageing'!A1" display="Input Loan Ageing" xr:uid="{D1B53F0E-BD0A-4EB0-B2E5-B3B54CB89110}"/>
    <hyperlink ref="B12" location="'Input-Additional'!A1" display="Input Additional" xr:uid="{40C152DC-D2C3-4491-96FB-D6FB05A20475}"/>
    <hyperlink ref="B13" location="'Input-SCAN'!A1" display="Input SCAN" xr:uid="{7D170515-FAE9-4ECB-83C0-EA259F0EDC09}"/>
    <hyperlink ref="B14" location="'Input-PROBATION Self Evaluation'!A1" display="Input PROBATION Self Evaluation" xr:uid="{1285573D-DCD1-4352-87F3-C872D6247EA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4168C-96D3-462D-9EC6-F64B57AAA49D}">
  <dimension ref="A1:K20"/>
  <sheetViews>
    <sheetView workbookViewId="0">
      <selection activeCell="D1" sqref="D1"/>
    </sheetView>
  </sheetViews>
  <sheetFormatPr defaultRowHeight="14.5" x14ac:dyDescent="0.35"/>
  <cols>
    <col min="1" max="1" width="17.6328125" customWidth="1"/>
    <col min="2" max="2" width="18" customWidth="1"/>
    <col min="4" max="4" width="12.26953125" bestFit="1" customWidth="1"/>
    <col min="6" max="6" width="11.90625" bestFit="1" customWidth="1"/>
    <col min="7" max="7" width="36.36328125" bestFit="1" customWidth="1"/>
    <col min="8" max="8" width="22.90625" bestFit="1" customWidth="1"/>
    <col min="9" max="9" width="20.08984375" bestFit="1" customWidth="1"/>
    <col min="10" max="10" width="22.81640625" bestFit="1" customWidth="1"/>
    <col min="11" max="11" width="13.453125" bestFit="1" customWidth="1"/>
  </cols>
  <sheetData>
    <row r="1" spans="1:11" x14ac:dyDescent="0.35">
      <c r="A1" t="s">
        <v>459</v>
      </c>
      <c r="B1" t="s">
        <v>399</v>
      </c>
      <c r="C1" t="s">
        <v>249</v>
      </c>
      <c r="D1" t="s">
        <v>416</v>
      </c>
      <c r="E1" t="s">
        <v>409</v>
      </c>
      <c r="F1" t="s">
        <v>501</v>
      </c>
      <c r="G1" t="s">
        <v>400</v>
      </c>
      <c r="H1" t="s">
        <v>401</v>
      </c>
      <c r="I1" t="s">
        <v>402</v>
      </c>
      <c r="J1" t="s">
        <v>403</v>
      </c>
      <c r="K1" t="s">
        <v>502</v>
      </c>
    </row>
    <row r="2" spans="1:11" x14ac:dyDescent="0.35">
      <c r="A2" t="s">
        <v>252</v>
      </c>
      <c r="B2" t="s">
        <v>450</v>
      </c>
      <c r="C2">
        <f>'Output-PEARLS'!F6</f>
        <v>0</v>
      </c>
      <c r="K2" t="s">
        <v>503</v>
      </c>
    </row>
    <row r="3" spans="1:11" x14ac:dyDescent="0.35">
      <c r="A3" t="s">
        <v>447</v>
      </c>
      <c r="B3" t="s">
        <v>451</v>
      </c>
      <c r="C3">
        <f>'Output-PEARLS'!F7</f>
        <v>0</v>
      </c>
      <c r="K3" t="s">
        <v>504</v>
      </c>
    </row>
    <row r="4" spans="1:11" x14ac:dyDescent="0.35">
      <c r="A4" t="s">
        <v>448</v>
      </c>
      <c r="B4" t="s">
        <v>452</v>
      </c>
      <c r="C4">
        <f>'Output-PEARLS'!F8</f>
        <v>0</v>
      </c>
      <c r="K4" t="s">
        <v>505</v>
      </c>
    </row>
    <row r="5" spans="1:11" x14ac:dyDescent="0.35">
      <c r="A5" t="s">
        <v>449</v>
      </c>
      <c r="B5" t="s">
        <v>453</v>
      </c>
      <c r="C5">
        <f>('Output-PEARLS'!F9+'Output-PEARLS'!F10+'Output-PEARLS'!F11)/3</f>
        <v>0</v>
      </c>
    </row>
    <row r="6" spans="1:11" x14ac:dyDescent="0.35">
      <c r="B6" t="s">
        <v>454</v>
      </c>
      <c r="D6">
        <v>5</v>
      </c>
      <c r="E6">
        <f>IF(C2&lt;100,5,IF(C3&lt;50,3.75,IF(C4&lt;25,2.5,IF(C5&lt;1,2.5,1.25))))</f>
        <v>5</v>
      </c>
      <c r="F6" t="str">
        <f>IF(E6=1.25,K4,IF(E6=2.5,K3,IF(E6=3.75,K2,IF(E6=5,K1))))</f>
        <v>Malignant</v>
      </c>
      <c r="G6" t="s">
        <v>455</v>
      </c>
      <c r="H6" t="s">
        <v>456</v>
      </c>
      <c r="I6" t="s">
        <v>457</v>
      </c>
      <c r="J6" t="s">
        <v>458</v>
      </c>
    </row>
    <row r="7" spans="1:11" x14ac:dyDescent="0.35">
      <c r="A7" t="s">
        <v>264</v>
      </c>
      <c r="B7" t="s">
        <v>410</v>
      </c>
      <c r="C7" t="e">
        <f>'Output-PEARLS'!F14</f>
        <v>#DIV/0!</v>
      </c>
      <c r="D7">
        <v>4</v>
      </c>
      <c r="E7" t="e">
        <f>IF(C7&lt;100,4,IF(C7&lt;105,3,IF(C7&lt;110,2,IF(C7&gt;=110,1))))</f>
        <v>#DIV/0!</v>
      </c>
      <c r="F7" t="e">
        <f>IF(E7=1,K4,IF(E7=2,K3,IF(E7=3,K2,IF(E7=4,K1))))</f>
        <v>#DIV/0!</v>
      </c>
      <c r="G7" t="s">
        <v>412</v>
      </c>
      <c r="H7" t="s">
        <v>414</v>
      </c>
      <c r="I7" t="s">
        <v>415</v>
      </c>
      <c r="J7" t="s">
        <v>413</v>
      </c>
    </row>
    <row r="8" spans="1:11" ht="16" x14ac:dyDescent="0.4">
      <c r="A8" t="s">
        <v>271</v>
      </c>
      <c r="B8" t="s">
        <v>417</v>
      </c>
      <c r="C8" s="39" t="e">
        <f>'Output-PEARLS'!F17</f>
        <v>#DIV/0!</v>
      </c>
      <c r="D8">
        <v>4</v>
      </c>
      <c r="E8" s="40" t="e">
        <f>IF(OR(C8&lt;60,C8&gt;90),4,IF(OR(AND(C8&gt;=60,C8&lt;65),AND(C8&gt;85,C8&lt;=90)),3,IF(OR(AND(C8&gt;=65,C8&lt;70),AND(C8&gt;80,C8&lt;=85)),2,IF(AND(C8&gt;=70,C8&lt;=80),1,""))))</f>
        <v>#DIV/0!</v>
      </c>
      <c r="F8" s="40" t="e">
        <f>IF(E8=1,$K$4,IF(E8=2,$K$3,IF(E8=3,$K$2,IF(E8=4,$K$1))))</f>
        <v>#DIV/0!</v>
      </c>
      <c r="G8" t="s">
        <v>418</v>
      </c>
      <c r="H8" t="s">
        <v>419</v>
      </c>
      <c r="I8" t="s">
        <v>420</v>
      </c>
      <c r="J8" t="s">
        <v>421</v>
      </c>
    </row>
    <row r="9" spans="1:11" ht="16" x14ac:dyDescent="0.4">
      <c r="A9" t="s">
        <v>339</v>
      </c>
      <c r="B9" t="s">
        <v>422</v>
      </c>
      <c r="C9" s="39" t="e">
        <f>'Output-PEARLS'!F21</f>
        <v>#DIV/0!</v>
      </c>
      <c r="D9">
        <v>3</v>
      </c>
      <c r="E9" t="e">
        <f>IF(C9&lt;=2,0.75,IF(C9&lt;=5,1.5,IF(C9&lt;=10,2.25,IF(C9&gt;10,3))))</f>
        <v>#DIV/0!</v>
      </c>
      <c r="F9" s="40" t="e">
        <f>IF(E9=0.75,$K$4,IF(E9=1.5,$K$3,IF(E9=2.25,$K$2,IF(E9=3,$K$1))))</f>
        <v>#DIV/0!</v>
      </c>
      <c r="G9" t="s">
        <v>423</v>
      </c>
      <c r="H9" t="s">
        <v>424</v>
      </c>
      <c r="I9" t="s">
        <v>425</v>
      </c>
      <c r="J9" t="s">
        <v>426</v>
      </c>
    </row>
    <row r="10" spans="1:11" ht="16" x14ac:dyDescent="0.4">
      <c r="A10" t="s">
        <v>283</v>
      </c>
      <c r="B10" t="s">
        <v>427</v>
      </c>
      <c r="C10" s="39" t="e">
        <f>'Output-PEARLS'!F23</f>
        <v>#DIV/0!</v>
      </c>
      <c r="D10">
        <v>3</v>
      </c>
      <c r="E10" s="40" t="e">
        <f>IF(OR(C10&lt;60,C10&gt;90),4,IF(OR(AND(C10&gt;=60,C10&lt;65),AND(C10&gt;85,C10&lt;=90)),3,IF(OR(AND(C10&gt;=65,C10&lt;70),AND(C10&gt;80,C10&lt;=85)),2,IF(AND(C10&gt;=70,C10&lt;=80),1,""))))</f>
        <v>#DIV/0!</v>
      </c>
      <c r="F10" s="40" t="e">
        <f>IF(E10=1,$K$4,IF(E10=2,$K$3,IF(E10=3,$K$2,IF(E10=4,$K$1))))</f>
        <v>#DIV/0!</v>
      </c>
      <c r="G10" t="s">
        <v>418</v>
      </c>
      <c r="H10" t="s">
        <v>419</v>
      </c>
      <c r="I10" t="s">
        <v>420</v>
      </c>
      <c r="J10" t="s">
        <v>421</v>
      </c>
    </row>
    <row r="11" spans="1:11" ht="16" x14ac:dyDescent="0.4">
      <c r="A11" t="s">
        <v>285</v>
      </c>
      <c r="B11" t="s">
        <v>436</v>
      </c>
      <c r="C11" s="39" t="e">
        <f>'Output-PEARLS'!F24</f>
        <v>#DIV/0!</v>
      </c>
      <c r="D11">
        <v>3</v>
      </c>
      <c r="E11" t="e">
        <f>IF(C11&lt;'Output-Capital Adequacy'!I68,0.75,IF(C11&lt;=15,1.5,IF(C11&lt;=30,2.25,IF(C8&gt;30,3))))</f>
        <v>#DIV/0!</v>
      </c>
      <c r="F11" s="40" t="e">
        <f>IF(E11=0.75,$K$4,IF(E11=1.5,$K$3,IF(E11=2.25,$K$2,IF(E11=3,$K$1))))</f>
        <v>#DIV/0!</v>
      </c>
      <c r="G11" t="s">
        <v>428</v>
      </c>
      <c r="H11" t="s">
        <v>429</v>
      </c>
      <c r="I11" t="s">
        <v>430</v>
      </c>
      <c r="J11" t="s">
        <v>431</v>
      </c>
    </row>
    <row r="12" spans="1:11" ht="16" x14ac:dyDescent="0.4">
      <c r="A12" t="s">
        <v>288</v>
      </c>
      <c r="B12" t="s">
        <v>437</v>
      </c>
      <c r="C12" s="39" t="e">
        <f>'Output-PEARLS'!F25</f>
        <v>#DIV/0!</v>
      </c>
      <c r="D12">
        <v>4</v>
      </c>
      <c r="E12" s="40" t="e">
        <f>IF(OR(C12&lt;3,C12&gt;40),4,IF(OR(AND(C12&gt;=3,C12&lt;5),AND(C12&gt;30,C12&lt;=40)),3,IF(OR(AND(C12&gt;=5,C12&lt;10),AND(C12&gt;20,C12&lt;=30)),2, IF(AND(C12&gt;=10,C12&lt;=20),1,""))))</f>
        <v>#DIV/0!</v>
      </c>
      <c r="F12" s="40" t="e">
        <f>IF(E12=1,$K$4,IF(E12=2,$K$3,IF(E12=3,$K$2,IF(E12=4,$K$1))))</f>
        <v>#DIV/0!</v>
      </c>
      <c r="G12" t="s">
        <v>438</v>
      </c>
      <c r="H12" t="s">
        <v>439</v>
      </c>
      <c r="I12" t="s">
        <v>440</v>
      </c>
      <c r="J12" t="s">
        <v>441</v>
      </c>
    </row>
    <row r="13" spans="1:11" ht="16" x14ac:dyDescent="0.4">
      <c r="A13" t="s">
        <v>298</v>
      </c>
      <c r="B13" t="s">
        <v>442</v>
      </c>
      <c r="C13" s="39" t="e">
        <f>'Output-PEARLS'!F29</f>
        <v>#DIV/0!</v>
      </c>
      <c r="D13">
        <v>4</v>
      </c>
      <c r="E13" t="e">
        <f>IF(C13&lt;5,1.25,IF(C13&lt;=20,2.5,IF(C13&lt;=40,3.75,IF(C13&gt;40,5))))</f>
        <v>#DIV/0!</v>
      </c>
      <c r="F13" s="40" t="e">
        <f>IF(E13=1.25,$K$4,IF(E13=2.5,$K$3,IF(E13=3.75,$K$2,IF(E13=5,$K$1))))</f>
        <v>#DIV/0!</v>
      </c>
      <c r="G13" t="s">
        <v>443</v>
      </c>
      <c r="H13" t="s">
        <v>444</v>
      </c>
      <c r="I13" t="s">
        <v>445</v>
      </c>
      <c r="J13" t="s">
        <v>446</v>
      </c>
    </row>
    <row r="14" spans="1:11" ht="16" x14ac:dyDescent="0.4">
      <c r="A14" t="s">
        <v>321</v>
      </c>
      <c r="B14" t="s">
        <v>477</v>
      </c>
      <c r="C14" s="39" t="e">
        <f>'Output-PEARLS'!F38</f>
        <v>#DIV/0!</v>
      </c>
      <c r="D14">
        <v>4</v>
      </c>
      <c r="E14" t="e">
        <f>IF(C14&lt;=5,1,IF(C14&lt;=7,2,IF(C14&lt;=8,3,IF(C14&gt;8,4))))</f>
        <v>#DIV/0!</v>
      </c>
      <c r="F14" s="40" t="e">
        <f>IF(E14=1,$K$4,IF(E14=2,$K$3,IF(E14=3,$K$2,IF(E14=4,$K$1))))</f>
        <v>#DIV/0!</v>
      </c>
      <c r="G14" t="s">
        <v>478</v>
      </c>
      <c r="H14" t="s">
        <v>479</v>
      </c>
      <c r="I14" t="s">
        <v>480</v>
      </c>
      <c r="J14" t="s">
        <v>481</v>
      </c>
    </row>
    <row r="15" spans="1:11" ht="16" x14ac:dyDescent="0.4">
      <c r="A15" t="s">
        <v>326</v>
      </c>
      <c r="B15" t="s">
        <v>460</v>
      </c>
      <c r="C15" t="e">
        <f>'Output-PEARLS'!F41</f>
        <v>#DIV/0!</v>
      </c>
      <c r="D15">
        <v>8</v>
      </c>
      <c r="E15" t="e">
        <f>IF(OR(C15&lt;10,C15&gt;60),8,IF(OR(AND(C15&gt;=10,C15&lt;12),AND(C15&gt;30,C15&lt;60)),6,IF(OR(AND(C15&gt;=12,C15&lt;15),AND(C15&gt;20,C15&lt;=30)),4,IF(AND(C15&gt;=15,C15&lt;=20),2,""))))</f>
        <v>#DIV/0!</v>
      </c>
      <c r="F15" s="40" t="e">
        <f>IF(E15=2,$K$4,IF(E15=4,$K$3,IF(E15=6,$K$2,IF(E15=8,$K$1))))</f>
        <v>#DIV/0!</v>
      </c>
      <c r="G15" t="s">
        <v>463</v>
      </c>
      <c r="H15" t="s">
        <v>464</v>
      </c>
      <c r="I15" t="s">
        <v>465</v>
      </c>
      <c r="J15" t="s">
        <v>466</v>
      </c>
    </row>
    <row r="16" spans="1:11" ht="16" x14ac:dyDescent="0.4">
      <c r="A16" t="s">
        <v>329</v>
      </c>
      <c r="B16" t="s">
        <v>461</v>
      </c>
      <c r="C16" t="e">
        <f>'Output-PEARLS'!F42</f>
        <v>#DIV/0!</v>
      </c>
      <c r="D16">
        <v>2</v>
      </c>
      <c r="E16" t="e">
        <f>IF(C16&lt;=0.5,0.5,IF(C16&lt;=0.75,1,IF(C16&lt;=1,1.5,IF(C16&gt;1,2))))</f>
        <v>#DIV/0!</v>
      </c>
      <c r="F16" s="40" t="e">
        <f>IF(E16=0.5,$K$4,IF(E16=1,$K$3,IF(E16=1.5,$K$2,IF(E16=2,$K$1))))</f>
        <v>#DIV/0!</v>
      </c>
      <c r="G16" t="s">
        <v>467</v>
      </c>
      <c r="H16" t="s">
        <v>468</v>
      </c>
      <c r="I16" t="s">
        <v>469</v>
      </c>
      <c r="J16" t="s">
        <v>470</v>
      </c>
    </row>
    <row r="17" spans="1:10" ht="16" x14ac:dyDescent="0.4">
      <c r="B17" t="s">
        <v>462</v>
      </c>
      <c r="D17">
        <f>SUM(D15:D16)</f>
        <v>10</v>
      </c>
      <c r="E17" t="e">
        <f>SUM(E15:E16)</f>
        <v>#DIV/0!</v>
      </c>
      <c r="F17" s="40"/>
    </row>
    <row r="18" spans="1:10" ht="16" x14ac:dyDescent="0.4">
      <c r="A18" t="s">
        <v>333</v>
      </c>
      <c r="B18" t="s">
        <v>471</v>
      </c>
      <c r="C18" t="e">
        <f>'Output-PEARLS'!F44</f>
        <v>#DIV/0!</v>
      </c>
      <c r="D18">
        <v>3</v>
      </c>
      <c r="E18" t="e">
        <f>IF(C18&lt;-20,3,IF(C18&lt;0,2.25,IF(C18=0,1.5,IF(C18&gt;0,0.75))))</f>
        <v>#DIV/0!</v>
      </c>
      <c r="F18" s="40" t="e">
        <f>IF(E18=0.75,$K$4,IF(E18=1.5,$K$3,IF(E18=2.25,$K$2,IF(E18=3,$K$1))))</f>
        <v>#DIV/0!</v>
      </c>
      <c r="G18" t="s">
        <v>472</v>
      </c>
      <c r="H18" t="s">
        <v>473</v>
      </c>
      <c r="I18" t="s">
        <v>474</v>
      </c>
      <c r="J18" t="s">
        <v>475</v>
      </c>
    </row>
    <row r="19" spans="1:10" ht="16" x14ac:dyDescent="0.4">
      <c r="A19" t="s">
        <v>336</v>
      </c>
      <c r="B19" t="s">
        <v>476</v>
      </c>
      <c r="C19" t="e">
        <f>'Output-PEARLS'!F45</f>
        <v>#DIV/0!</v>
      </c>
      <c r="D19">
        <v>2</v>
      </c>
      <c r="E19" t="e">
        <f>IF(C19&lt;-20,2,IF(C19&lt;0,1.5,IF(C19=0,1,IF(C19&gt;0,0.5))))</f>
        <v>#DIV/0!</v>
      </c>
      <c r="F19" s="40" t="e">
        <f>IF(E19=0.5,$K$4,IF(E19=1,$K$3,IF(E19=1.5,$K$2,IF(E19=2,$K$1))))</f>
        <v>#DIV/0!</v>
      </c>
      <c r="G19" t="s">
        <v>472</v>
      </c>
      <c r="H19" t="s">
        <v>473</v>
      </c>
      <c r="I19" t="s">
        <v>474</v>
      </c>
      <c r="J19" t="s">
        <v>475</v>
      </c>
    </row>
    <row r="20" spans="1:10" ht="16" x14ac:dyDescent="0.4">
      <c r="A20" t="s">
        <v>411</v>
      </c>
      <c r="B20" t="s">
        <v>408</v>
      </c>
      <c r="C20" t="e">
        <f>'Output-Capital Adequacy'!D56</f>
        <v>#DIV/0!</v>
      </c>
      <c r="D20">
        <v>15</v>
      </c>
      <c r="E20" t="e">
        <f>IF(C20&lt;8,15,IF(C20&lt;9,11.25,IF(C20&lt;10,7.5,IF(C20&gt;=10,3.75))))</f>
        <v>#DIV/0!</v>
      </c>
      <c r="F20" s="40" t="e">
        <f>IF(E20=3.75,$K$4,IF(E20=7.5,$K$3,IF(E20=11.25,$K$2,IF(E20=15,$K$1))))</f>
        <v>#DIV/0!</v>
      </c>
      <c r="G20" t="s">
        <v>404</v>
      </c>
      <c r="H20" t="s">
        <v>405</v>
      </c>
      <c r="I20" s="38" t="s">
        <v>406</v>
      </c>
      <c r="J20" t="s">
        <v>407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11139-FB69-4F17-9F7A-72A4F92549C3}">
  <dimension ref="A1:F60"/>
  <sheetViews>
    <sheetView view="pageBreakPreview" topLeftCell="B1" zoomScaleNormal="100" zoomScaleSheetLayoutView="100" workbookViewId="0">
      <selection activeCell="B1" sqref="A1:XFD1048576"/>
    </sheetView>
  </sheetViews>
  <sheetFormatPr defaultRowHeight="14.5" x14ac:dyDescent="0.35"/>
  <cols>
    <col min="2" max="2" width="31.7265625" customWidth="1"/>
    <col min="3" max="3" width="29.1796875" customWidth="1"/>
    <col min="4" max="4" width="17.1796875" customWidth="1"/>
    <col min="5" max="5" width="19.453125" customWidth="1"/>
  </cols>
  <sheetData>
    <row r="1" spans="1:4" ht="15" thickBot="1" x14ac:dyDescent="0.4">
      <c r="A1" s="85"/>
      <c r="B1" s="86" t="str">
        <f>'Output-Risk Profile'!B3</f>
        <v>संस्थाको नाम</v>
      </c>
      <c r="C1" s="86" t="str">
        <f>'Input-TB'!C1</f>
        <v>ABC SACCOS</v>
      </c>
      <c r="D1" s="87"/>
    </row>
    <row r="2" spans="1:4" x14ac:dyDescent="0.35">
      <c r="A2" s="88"/>
      <c r="B2" t="str">
        <f>'Output-Risk Profile'!B4</f>
        <v xml:space="preserve">जिल्ला </v>
      </c>
      <c r="C2" s="86" t="str">
        <f>'Input-TB'!C2</f>
        <v>ABC SACCOS</v>
      </c>
      <c r="D2" s="89"/>
    </row>
    <row r="3" spans="1:4" x14ac:dyDescent="0.35">
      <c r="A3" s="88"/>
      <c r="B3" t="s">
        <v>616</v>
      </c>
      <c r="C3" s="84" t="str">
        <f>'Input-TB'!C9</f>
        <v>2082-03-32</v>
      </c>
      <c r="D3" s="89"/>
    </row>
    <row r="4" spans="1:4" x14ac:dyDescent="0.35">
      <c r="A4" s="90" t="s">
        <v>121</v>
      </c>
      <c r="B4" s="17" t="s">
        <v>72</v>
      </c>
      <c r="C4" s="20" t="s">
        <v>73</v>
      </c>
      <c r="D4" s="91" t="s">
        <v>60</v>
      </c>
    </row>
    <row r="5" spans="1:4" x14ac:dyDescent="0.35">
      <c r="A5" s="92">
        <v>10</v>
      </c>
      <c r="B5" s="17" t="s">
        <v>74</v>
      </c>
      <c r="C5" s="17" t="s">
        <v>75</v>
      </c>
      <c r="D5" s="93">
        <f>'Input-TB'!D11</f>
        <v>0</v>
      </c>
    </row>
    <row r="6" spans="1:4" x14ac:dyDescent="0.35">
      <c r="A6" s="92">
        <v>20</v>
      </c>
      <c r="B6" s="17" t="s">
        <v>76</v>
      </c>
      <c r="C6" s="17" t="s">
        <v>77</v>
      </c>
      <c r="D6" s="93">
        <f>SUM(D7:D13)</f>
        <v>0</v>
      </c>
    </row>
    <row r="7" spans="1:4" x14ac:dyDescent="0.35">
      <c r="A7" s="94">
        <v>20.100000000000001</v>
      </c>
      <c r="B7" s="12" t="s">
        <v>78</v>
      </c>
      <c r="C7" s="12" t="s">
        <v>79</v>
      </c>
      <c r="D7" s="95">
        <f>'Input-TB'!D13</f>
        <v>0</v>
      </c>
    </row>
    <row r="8" spans="1:4" x14ac:dyDescent="0.35">
      <c r="A8" s="94">
        <v>20.2</v>
      </c>
      <c r="B8" s="12" t="s">
        <v>80</v>
      </c>
      <c r="C8" s="12" t="s">
        <v>81</v>
      </c>
      <c r="D8" s="95">
        <f>'Input-TB'!D14</f>
        <v>0</v>
      </c>
    </row>
    <row r="9" spans="1:4" x14ac:dyDescent="0.35">
      <c r="A9" s="94">
        <v>20.3</v>
      </c>
      <c r="B9" s="12" t="s">
        <v>83</v>
      </c>
      <c r="C9" s="13" t="s">
        <v>84</v>
      </c>
      <c r="D9" s="95">
        <f>'Input-TB'!D15</f>
        <v>0</v>
      </c>
    </row>
    <row r="10" spans="1:4" ht="37.5" x14ac:dyDescent="0.35">
      <c r="A10" s="94">
        <v>20.399999999999999</v>
      </c>
      <c r="B10" s="12" t="s">
        <v>85</v>
      </c>
      <c r="C10" s="13" t="s">
        <v>86</v>
      </c>
      <c r="D10" s="95">
        <f>'Input-TB'!D16</f>
        <v>0</v>
      </c>
    </row>
    <row r="11" spans="1:4" x14ac:dyDescent="0.35">
      <c r="A11" s="94">
        <v>20.5</v>
      </c>
      <c r="B11" s="12" t="s">
        <v>82</v>
      </c>
      <c r="C11" s="12" t="s">
        <v>67</v>
      </c>
      <c r="D11" s="95">
        <f>'Input-TB'!D17</f>
        <v>0</v>
      </c>
    </row>
    <row r="12" spans="1:4" x14ac:dyDescent="0.35">
      <c r="A12" s="94">
        <v>20.6</v>
      </c>
      <c r="B12" s="15" t="s">
        <v>587</v>
      </c>
      <c r="C12" s="12" t="s">
        <v>588</v>
      </c>
      <c r="D12" s="95">
        <f>IF('Input-Loan Ageing'!F21&gt;0,'Input-Loan Ageing'!F21,0)</f>
        <v>0</v>
      </c>
    </row>
    <row r="13" spans="1:4" x14ac:dyDescent="0.35">
      <c r="A13" s="94">
        <v>20.7</v>
      </c>
      <c r="B13" s="12" t="s">
        <v>205</v>
      </c>
      <c r="C13" s="12" t="s">
        <v>239</v>
      </c>
      <c r="D13" s="96">
        <f>'Output-PL'!D27</f>
        <v>0</v>
      </c>
    </row>
    <row r="14" spans="1:4" x14ac:dyDescent="0.35">
      <c r="A14" s="92">
        <v>30</v>
      </c>
      <c r="B14" s="17" t="s">
        <v>87</v>
      </c>
      <c r="C14" s="17" t="s">
        <v>88</v>
      </c>
      <c r="D14" s="93">
        <f>SUM(D15:D18)</f>
        <v>0</v>
      </c>
    </row>
    <row r="15" spans="1:4" x14ac:dyDescent="0.35">
      <c r="A15" s="94">
        <v>30.1</v>
      </c>
      <c r="B15" s="12" t="s">
        <v>89</v>
      </c>
      <c r="C15" s="12" t="s">
        <v>90</v>
      </c>
      <c r="D15" s="95">
        <f>'Input-TB'!D19</f>
        <v>0</v>
      </c>
    </row>
    <row r="16" spans="1:4" x14ac:dyDescent="0.35">
      <c r="A16" s="94">
        <v>30.2</v>
      </c>
      <c r="B16" s="12" t="s">
        <v>91</v>
      </c>
      <c r="C16" s="12" t="s">
        <v>92</v>
      </c>
      <c r="D16" s="95">
        <f>'Input-TB'!D20</f>
        <v>0</v>
      </c>
    </row>
    <row r="17" spans="1:6" x14ac:dyDescent="0.35">
      <c r="A17" s="94">
        <v>30.3</v>
      </c>
      <c r="B17" s="12" t="s">
        <v>93</v>
      </c>
      <c r="C17" s="12" t="s">
        <v>94</v>
      </c>
      <c r="D17" s="95">
        <f>'Input-TB'!D21</f>
        <v>0</v>
      </c>
    </row>
    <row r="18" spans="1:6" x14ac:dyDescent="0.35">
      <c r="A18" s="94">
        <v>30.4</v>
      </c>
      <c r="B18" s="12" t="s">
        <v>95</v>
      </c>
      <c r="C18" s="12" t="s">
        <v>96</v>
      </c>
      <c r="D18" s="95">
        <f>'Input-TB'!D22</f>
        <v>0</v>
      </c>
    </row>
    <row r="19" spans="1:6" x14ac:dyDescent="0.35">
      <c r="A19" s="92">
        <v>40</v>
      </c>
      <c r="B19" s="17" t="s">
        <v>97</v>
      </c>
      <c r="C19" s="17" t="s">
        <v>98</v>
      </c>
      <c r="D19" s="93">
        <f>SUM(D20:D21)</f>
        <v>0</v>
      </c>
    </row>
    <row r="20" spans="1:6" ht="26" x14ac:dyDescent="0.35">
      <c r="A20" s="94">
        <v>40.1</v>
      </c>
      <c r="B20" s="15" t="s">
        <v>68</v>
      </c>
      <c r="C20" s="12" t="s">
        <v>187</v>
      </c>
      <c r="D20" s="95">
        <f>'Input-TB'!D24</f>
        <v>0</v>
      </c>
    </row>
    <row r="21" spans="1:6" ht="26" x14ac:dyDescent="0.35">
      <c r="A21" s="94">
        <v>40.200000000000003</v>
      </c>
      <c r="B21" s="15" t="s">
        <v>69</v>
      </c>
      <c r="C21" s="12" t="s">
        <v>188</v>
      </c>
      <c r="D21" s="95">
        <f>'Input-TB'!D25</f>
        <v>0</v>
      </c>
    </row>
    <row r="22" spans="1:6" x14ac:dyDescent="0.35">
      <c r="A22" s="92">
        <v>50</v>
      </c>
      <c r="B22" s="17" t="s">
        <v>99</v>
      </c>
      <c r="C22" s="17" t="s">
        <v>100</v>
      </c>
      <c r="D22" s="93">
        <f>'Input-TB'!D26</f>
        <v>0</v>
      </c>
    </row>
    <row r="23" spans="1:6" x14ac:dyDescent="0.35">
      <c r="A23" s="92">
        <v>60</v>
      </c>
      <c r="B23" s="17" t="s">
        <v>101</v>
      </c>
      <c r="C23" s="17" t="s">
        <v>102</v>
      </c>
      <c r="D23" s="93">
        <f>SUM(D24:D24)</f>
        <v>0</v>
      </c>
    </row>
    <row r="24" spans="1:6" x14ac:dyDescent="0.35">
      <c r="A24" s="94">
        <v>60.1</v>
      </c>
      <c r="B24" s="15" t="s">
        <v>70</v>
      </c>
      <c r="C24" s="12" t="s">
        <v>185</v>
      </c>
      <c r="D24" s="95">
        <f>'Input-TB'!D28</f>
        <v>0</v>
      </c>
    </row>
    <row r="25" spans="1:6" x14ac:dyDescent="0.35">
      <c r="A25" s="92">
        <v>70</v>
      </c>
      <c r="B25" s="17" t="s">
        <v>107</v>
      </c>
      <c r="C25" s="17" t="s">
        <v>108</v>
      </c>
      <c r="D25" s="91">
        <f>'Input-TB'!D32</f>
        <v>0</v>
      </c>
    </row>
    <row r="26" spans="1:6" x14ac:dyDescent="0.35">
      <c r="A26" s="92"/>
      <c r="B26" s="17" t="s">
        <v>206</v>
      </c>
      <c r="C26" s="17"/>
      <c r="D26" s="91">
        <f>D25+D23+D22+D19+D14+D6+D5</f>
        <v>0</v>
      </c>
      <c r="F26">
        <f>D26-D60</f>
        <v>0</v>
      </c>
    </row>
    <row r="27" spans="1:6" x14ac:dyDescent="0.35">
      <c r="A27" s="97"/>
      <c r="B27" s="1"/>
      <c r="C27" s="1"/>
      <c r="D27" s="98"/>
    </row>
    <row r="28" spans="1:6" x14ac:dyDescent="0.35">
      <c r="A28" s="101" t="s">
        <v>59</v>
      </c>
      <c r="B28" s="19" t="s">
        <v>72</v>
      </c>
      <c r="C28" s="19" t="s">
        <v>73</v>
      </c>
      <c r="D28" s="102" t="s">
        <v>184</v>
      </c>
    </row>
    <row r="29" spans="1:6" x14ac:dyDescent="0.35">
      <c r="A29" s="101">
        <f>'Input-TB'!F5</f>
        <v>80</v>
      </c>
      <c r="B29" s="19" t="str">
        <f>'Input-TB'!G5</f>
        <v>Cash in Hand</v>
      </c>
      <c r="C29" s="19" t="str">
        <f>'Input-TB'!H5</f>
        <v>नगद मौज्दात</v>
      </c>
      <c r="D29" s="102">
        <f>'Input-TB'!I5</f>
        <v>0</v>
      </c>
    </row>
    <row r="30" spans="1:6" x14ac:dyDescent="0.35">
      <c r="A30" s="101">
        <f>'Input-TB'!F6</f>
        <v>90</v>
      </c>
      <c r="B30" s="19" t="str">
        <f>'Input-TB'!G6</f>
        <v>Cash at Bank</v>
      </c>
      <c r="C30" s="19" t="str">
        <f>'Input-TB'!H6</f>
        <v>बैंक हिसाब</v>
      </c>
      <c r="D30" s="102">
        <f>'Input-TB'!I6</f>
        <v>0</v>
      </c>
    </row>
    <row r="31" spans="1:6" ht="43.5" x14ac:dyDescent="0.35">
      <c r="A31" s="101">
        <f>'Input-TB'!F7</f>
        <v>90.1</v>
      </c>
      <c r="B31" s="19" t="str">
        <f>'Input-TB'!G7</f>
        <v>Balance in Central Bank Licensing Banks &amp; Financial Institutions</v>
      </c>
      <c r="C31" s="19" t="str">
        <f>'Input-TB'!H7</f>
        <v>नेपाल राष्ट्र बैंकबाट इजाजतपत्र प्राप्त बैंक तथा वित्तीय संस्थामा रहेको मौज्दात</v>
      </c>
      <c r="D31" s="102">
        <f>'Input-TB'!I7</f>
        <v>0</v>
      </c>
    </row>
    <row r="32" spans="1:6" ht="43.5" x14ac:dyDescent="0.35">
      <c r="A32" s="101">
        <f>'Input-TB'!F8</f>
        <v>90.2</v>
      </c>
      <c r="B32" s="19" t="str">
        <f>'Input-TB'!G8</f>
        <v>Balance in Central Bank Licensing Coop Banks</v>
      </c>
      <c r="C32" s="19" t="str">
        <f>'Input-TB'!H8</f>
        <v>नेपाल राष्ट्र बैंकबाट इजाजतपत्र प्राप्त सहकारी बैंकहरुमा रहेको मौज्दात</v>
      </c>
      <c r="D32" s="102">
        <f>'Input-TB'!I8</f>
        <v>0</v>
      </c>
    </row>
    <row r="33" spans="1:4" x14ac:dyDescent="0.35">
      <c r="A33" s="101">
        <f>'Input-TB'!F9</f>
        <v>90.3</v>
      </c>
      <c r="B33" s="19" t="str">
        <f>'Input-TB'!G9</f>
        <v>Balance in Federations/Networks</v>
      </c>
      <c r="C33" s="19" t="str">
        <f>'Input-TB'!H9</f>
        <v>संघहरुमा रहेको मौज्दात</v>
      </c>
      <c r="D33" s="102">
        <f>'Input-TB'!I9</f>
        <v>0</v>
      </c>
    </row>
    <row r="34" spans="1:4" ht="29" x14ac:dyDescent="0.35">
      <c r="A34" s="101">
        <f>'Input-TB'!F10</f>
        <v>90.4</v>
      </c>
      <c r="B34" s="19" t="str">
        <f>'Input-TB'!G10</f>
        <v>Off-Banks Liquid Assets (E-Sewa, Khalti)</v>
      </c>
      <c r="C34" s="19" t="str">
        <f>'Input-TB'!H10</f>
        <v>अन्यमा रहेको मौज्दात</v>
      </c>
      <c r="D34" s="102">
        <f>'Input-TB'!I10</f>
        <v>0</v>
      </c>
    </row>
    <row r="35" spans="1:4" x14ac:dyDescent="0.35">
      <c r="A35" s="101">
        <f>'Input-TB'!F11</f>
        <v>100</v>
      </c>
      <c r="B35" s="19" t="str">
        <f>'Input-TB'!G11</f>
        <v>Investment</v>
      </c>
      <c r="C35" s="19" t="str">
        <f>'Input-TB'!H11</f>
        <v>लगानी हिसाब</v>
      </c>
      <c r="D35" s="102">
        <f>'Input-TB'!I11</f>
        <v>0</v>
      </c>
    </row>
    <row r="36" spans="1:4" ht="43.5" x14ac:dyDescent="0.35">
      <c r="A36" s="101">
        <f>'Input-TB'!F12</f>
        <v>100.1</v>
      </c>
      <c r="B36" s="19" t="str">
        <f>'Input-TB'!G12</f>
        <v>Fixed Deposit in Central Bank Licensing Financial Institutions</v>
      </c>
      <c r="C36" s="19" t="str">
        <f>'Input-TB'!H12</f>
        <v>नेपाल राष्ट्र बैंकबाट इजाजतपत्र प्राप्त बैंक तथा वित्तीय संस्थामा रहेको मुद्दती बचत</v>
      </c>
      <c r="D36" s="102">
        <f>'Input-TB'!I12</f>
        <v>0</v>
      </c>
    </row>
    <row r="37" spans="1:4" ht="43.5" x14ac:dyDescent="0.35">
      <c r="A37" s="101">
        <f>'Input-TB'!F13</f>
        <v>100.2</v>
      </c>
      <c r="B37" s="19" t="str">
        <f>'Input-TB'!G13</f>
        <v>Fixed Deposit in Central Bank Licensing Coop Banks</v>
      </c>
      <c r="C37" s="19" t="str">
        <f>'Input-TB'!H13</f>
        <v>नेपाल राष्ट्र बैंकबाट इजाजतपत्र प्राप्त सहकारी बैंकहरुमा रहेको मुद्दती बचत</v>
      </c>
      <c r="D37" s="102">
        <f>'Input-TB'!I13</f>
        <v>0</v>
      </c>
    </row>
    <row r="38" spans="1:4" ht="29" x14ac:dyDescent="0.35">
      <c r="A38" s="101">
        <f>'Input-TB'!F14</f>
        <v>100.3</v>
      </c>
      <c r="B38" s="19" t="str">
        <f>'Input-TB'!G14</f>
        <v>Investment in Government Securities</v>
      </c>
      <c r="C38" s="19" t="str">
        <f>'Input-TB'!H14</f>
        <v>सरकारी ऋणपत्रमा गरेको लगानी</v>
      </c>
      <c r="D38" s="102">
        <f>'Input-TB'!I14</f>
        <v>0</v>
      </c>
    </row>
    <row r="39" spans="1:4" ht="29" x14ac:dyDescent="0.35">
      <c r="A39" s="101">
        <f>'Input-TB'!F15</f>
        <v>100.4</v>
      </c>
      <c r="B39" s="19" t="str">
        <f>'Input-TB'!G15</f>
        <v>Fixed Deposit in Federations/Networks</v>
      </c>
      <c r="C39" s="19" t="str">
        <f>'Input-TB'!H15</f>
        <v>संघहरुमा रहेको मुद्दती बचत</v>
      </c>
      <c r="D39" s="102">
        <f>'Input-TB'!I15</f>
        <v>0</v>
      </c>
    </row>
    <row r="40" spans="1:4" ht="29" x14ac:dyDescent="0.35">
      <c r="A40" s="101">
        <f>'Input-TB'!F16</f>
        <v>100.5</v>
      </c>
      <c r="B40" s="19" t="str">
        <f>'Input-TB'!G16</f>
        <v>Shares and Regular Savings in Federations/Networks</v>
      </c>
      <c r="C40" s="19" t="str">
        <f>'Input-TB'!H16</f>
        <v>शेयर लगानी एवं संघहरुमा गरिएको नियमित बचत</v>
      </c>
      <c r="D40" s="102">
        <f>'Input-TB'!I16</f>
        <v>0</v>
      </c>
    </row>
    <row r="41" spans="1:4" ht="29" x14ac:dyDescent="0.35">
      <c r="A41" s="101">
        <f>'Input-TB'!F17</f>
        <v>100.6</v>
      </c>
      <c r="B41" s="19" t="str">
        <f>'Input-TB'!G17</f>
        <v xml:space="preserve">Investment in Specialized Coop Federation </v>
      </c>
      <c r="C41" s="19" t="str">
        <f>'Input-TB'!H17</f>
        <v xml:space="preserve">विशिष्टीकृत संघहरुमा लगानी </v>
      </c>
      <c r="D41" s="102">
        <f>'Input-TB'!I17</f>
        <v>0</v>
      </c>
    </row>
    <row r="42" spans="1:4" ht="43.5" x14ac:dyDescent="0.35">
      <c r="A42" s="101">
        <f>'Input-TB'!F18</f>
        <v>100.7</v>
      </c>
      <c r="B42" s="19" t="str">
        <f>'Input-TB'!G18</f>
        <v>Investment in Non-Financial Investment</v>
      </c>
      <c r="C42" s="19" t="str">
        <f>'Input-TB'!H18</f>
        <v>गैर वित्तीय क्षेत्रमा शेयर लगानी (सुपरमार्केट, हस्पिटल, स्कुल आदिमा गरिएको लगानी)</v>
      </c>
      <c r="D42" s="102">
        <f>'Input-TB'!I18</f>
        <v>0</v>
      </c>
    </row>
    <row r="43" spans="1:4" x14ac:dyDescent="0.35">
      <c r="A43" s="101">
        <f>'Input-TB'!F19</f>
        <v>110</v>
      </c>
      <c r="B43" s="19" t="str">
        <f>'Input-TB'!G19</f>
        <v>Loan Investment</v>
      </c>
      <c r="C43" s="19" t="str">
        <f>'Input-TB'!H19</f>
        <v>ऋण लगानी</v>
      </c>
      <c r="D43" s="102">
        <f>'Input-TB'!I19</f>
        <v>0</v>
      </c>
    </row>
    <row r="44" spans="1:4" ht="29" x14ac:dyDescent="0.35">
      <c r="A44" s="101">
        <f>'Input-TB'!F20</f>
        <v>110.1</v>
      </c>
      <c r="B44" s="19" t="str">
        <f>'Input-TB'!G20</f>
        <v>Loan Against Savings (Not Exceeding 90% of Savings)</v>
      </c>
      <c r="C44" s="19" t="str">
        <f>'Input-TB'!H20</f>
        <v>बचत सुरक्षणमा प्रवाह गरिएको लगानीमा रहेको ऋण रकम</v>
      </c>
      <c r="D44" s="102">
        <f>'Input-TB'!I20</f>
        <v>0</v>
      </c>
    </row>
    <row r="45" spans="1:4" ht="43.5" x14ac:dyDescent="0.35">
      <c r="A45" s="101">
        <f>'Input-TB'!F21</f>
        <v>110.2</v>
      </c>
      <c r="B45" s="19" t="str">
        <f>'Input-TB'!G21</f>
        <v>Collateral Loan (Self-Family owned Collateral)</v>
      </c>
      <c r="C45" s="19" t="str">
        <f>'Input-TB'!H21</f>
        <v>धितो सुरक्षण (स्वयं र पारिवारिक धितो) मा प्रवाह गरिएको लगानीमा रहेको ऋण रकम</v>
      </c>
      <c r="D45" s="102">
        <f>'Input-TB'!I21</f>
        <v>0</v>
      </c>
    </row>
    <row r="46" spans="1:4" ht="29" x14ac:dyDescent="0.35">
      <c r="A46" s="101">
        <f>'Input-TB'!F22</f>
        <v>110.3</v>
      </c>
      <c r="B46" s="19" t="str">
        <f>'Input-TB'!G22</f>
        <v>Non-Collateral Loan</v>
      </c>
      <c r="C46" s="19" t="str">
        <f>'Input-TB'!H22</f>
        <v>बिना धितोमा प्रवाह गरिएको लगानीमा रहेको ऋण रकम</v>
      </c>
      <c r="D46" s="102">
        <f>'Input-TB'!I22</f>
        <v>0</v>
      </c>
    </row>
    <row r="47" spans="1:4" ht="29" x14ac:dyDescent="0.35">
      <c r="A47" s="101">
        <f>'Input-TB'!F23</f>
        <v>110.4</v>
      </c>
      <c r="B47" s="19" t="str">
        <f>'Input-TB'!G23</f>
        <v>Third Party Collateral Loan</v>
      </c>
      <c r="C47" s="19" t="str">
        <f>'Input-TB'!H23</f>
        <v>तेस्रो पक्ष धितोमा प्रवाह गरिएको लगानीमा रहेको ऋण रकम</v>
      </c>
      <c r="D47" s="102">
        <f>'Input-TB'!I23</f>
        <v>0</v>
      </c>
    </row>
    <row r="48" spans="1:4" x14ac:dyDescent="0.35">
      <c r="A48" s="99" t="s">
        <v>229</v>
      </c>
      <c r="B48" s="18" t="s">
        <v>232</v>
      </c>
      <c r="C48" s="18" t="s">
        <v>233</v>
      </c>
      <c r="D48" s="98">
        <f>'Input-Loan Ageing'!E18</f>
        <v>0</v>
      </c>
    </row>
    <row r="49" spans="1:4" x14ac:dyDescent="0.35">
      <c r="A49" s="101"/>
      <c r="B49" s="19" t="s">
        <v>236</v>
      </c>
      <c r="C49" s="19"/>
      <c r="D49" s="103">
        <f>D43-D48</f>
        <v>0</v>
      </c>
    </row>
    <row r="50" spans="1:4" x14ac:dyDescent="0.35">
      <c r="A50" s="101">
        <f>'Input-TB'!F24</f>
        <v>120</v>
      </c>
      <c r="B50" s="19" t="str">
        <f>'Input-TB'!G24</f>
        <v>Receivable</v>
      </c>
      <c r="C50" s="19" t="str">
        <f>'Input-TB'!H24</f>
        <v>पाउनु पर्ने हिसाब</v>
      </c>
      <c r="D50" s="102">
        <f>'Input-TB'!I24</f>
        <v>0</v>
      </c>
    </row>
    <row r="51" spans="1:4" x14ac:dyDescent="0.35">
      <c r="A51" s="101">
        <f>'Input-TB'!F25</f>
        <v>130</v>
      </c>
      <c r="B51" s="19" t="str">
        <f>'Input-TB'!G25</f>
        <v>Fixed Assets</v>
      </c>
      <c r="C51" s="19" t="str">
        <f>'Input-TB'!H25</f>
        <v>स्थिर सम्पत्ति</v>
      </c>
      <c r="D51" s="102">
        <f>'Input-TB'!I25</f>
        <v>0</v>
      </c>
    </row>
    <row r="52" spans="1:4" x14ac:dyDescent="0.35">
      <c r="A52" s="101">
        <f>'Input-TB'!F26</f>
        <v>130.1</v>
      </c>
      <c r="B52" s="19" t="str">
        <f>'Input-TB'!G26</f>
        <v>Land &amp; Building</v>
      </c>
      <c r="C52" s="19" t="str">
        <f>'Input-TB'!H26</f>
        <v>घर जग्गा</v>
      </c>
      <c r="D52" s="102">
        <f>'Input-TB'!I26</f>
        <v>0</v>
      </c>
    </row>
    <row r="53" spans="1:4" ht="29" x14ac:dyDescent="0.35">
      <c r="A53" s="101">
        <f>'Input-TB'!F27</f>
        <v>130.19999999999999</v>
      </c>
      <c r="B53" s="19" t="str">
        <f>'Input-TB'!G27</f>
        <v>Other Fixed Assets beyond Land &amp; Building</v>
      </c>
      <c r="C53" s="19" t="str">
        <f>'Input-TB'!H27</f>
        <v>घरजग्गा बाहेकको अन्य स्थिर सम्पत्ति</v>
      </c>
      <c r="D53" s="102">
        <f>'Input-TB'!I27</f>
        <v>0</v>
      </c>
    </row>
    <row r="54" spans="1:4" x14ac:dyDescent="0.35">
      <c r="A54" s="101">
        <f>'Input-TB'!F28</f>
        <v>140</v>
      </c>
      <c r="B54" s="19" t="str">
        <f>'Input-TB'!G28</f>
        <v>Other Assets</v>
      </c>
      <c r="C54" s="19" t="str">
        <f>'Input-TB'!H28</f>
        <v>अन्य सम्पत्तिहरु</v>
      </c>
      <c r="D54" s="102">
        <f>D57+D58</f>
        <v>0</v>
      </c>
    </row>
    <row r="55" spans="1:4" x14ac:dyDescent="0.35">
      <c r="A55" s="101">
        <f>'Input-TB'!F29</f>
        <v>140.1</v>
      </c>
      <c r="B55" s="19" t="str">
        <f>'Input-TB'!G29</f>
        <v>Non-Banking Assets</v>
      </c>
      <c r="C55" s="19" t="str">
        <f>'Input-TB'!H29</f>
        <v>गैह्र बैंकिङ सम्पत्ति</v>
      </c>
      <c r="D55" s="102">
        <f>'Input-TB'!I29</f>
        <v>0</v>
      </c>
    </row>
    <row r="56" spans="1:4" ht="26" x14ac:dyDescent="0.35">
      <c r="A56" s="99" t="s">
        <v>229</v>
      </c>
      <c r="B56" s="12" t="s">
        <v>103</v>
      </c>
      <c r="C56" s="13" t="s">
        <v>104</v>
      </c>
      <c r="D56" s="95">
        <f>D55*100%*-1</f>
        <v>0</v>
      </c>
    </row>
    <row r="57" spans="1:4" x14ac:dyDescent="0.35">
      <c r="A57" s="101"/>
      <c r="B57" s="17" t="s">
        <v>230</v>
      </c>
      <c r="C57" s="20" t="s">
        <v>231</v>
      </c>
      <c r="D57" s="93">
        <f>D55+D56</f>
        <v>0</v>
      </c>
    </row>
    <row r="58" spans="1:4" x14ac:dyDescent="0.35">
      <c r="A58" s="99">
        <f>'Input-TB'!F30</f>
        <v>140.19999999999999</v>
      </c>
      <c r="B58" s="18" t="str">
        <f>'Input-TB'!G30</f>
        <v>Other Assets</v>
      </c>
      <c r="C58" s="18" t="str">
        <f>'Input-TB'!H30</f>
        <v>अन्य सम्पत्ति</v>
      </c>
      <c r="D58" s="100">
        <f>'Input-TB'!I30</f>
        <v>0</v>
      </c>
    </row>
    <row r="59" spans="1:4" ht="37.5" x14ac:dyDescent="0.35">
      <c r="A59" s="97"/>
      <c r="B59" s="12" t="s">
        <v>238</v>
      </c>
      <c r="C59" s="13" t="s">
        <v>106</v>
      </c>
      <c r="D59" s="98">
        <f>'Input-TB'!D31*-1</f>
        <v>0</v>
      </c>
    </row>
    <row r="60" spans="1:4" ht="15" thickBot="1" x14ac:dyDescent="0.4">
      <c r="A60" s="104"/>
      <c r="B60" s="105" t="s">
        <v>237</v>
      </c>
      <c r="C60" s="105"/>
      <c r="D60" s="106">
        <f>D59+D54+D51+D50+D49+D35+D30+D29</f>
        <v>0</v>
      </c>
    </row>
  </sheetData>
  <sheetProtection algorithmName="SHA-512" hashValue="DQNQOMKIwwt+omItOHrFLoahPeQ4RYNIyLUASGGZvKcUpYP0OHdd5rZD7X9VL/isYkwUnJgckd9w0t1iJ/5KXw==" saltValue="wCrCjM84tHqNU11tekPEcQ==" spinCount="100000" sheet="1" objects="1" scenarios="1"/>
  <customSheetViews>
    <customSheetView guid="{B03DA2A8-6E10-4AC8-B8E9-08273B4719D3}" showPageBreaks="1" printArea="1" view="pageBreakPreview">
      <selection activeCell="B8" sqref="B8"/>
      <pageMargins left="0.7" right="0.31" top="0.28999999999999998" bottom="0.24" header="0.3" footer="0.3"/>
      <pageSetup orientation="portrait" horizontalDpi="0" verticalDpi="0" r:id="rId1"/>
    </customSheetView>
    <customSheetView guid="{AF169707-4E0F-443B-AC54-AEDA2A2EE592}" showPageBreaks="1" printArea="1" view="pageBreakPreview">
      <selection activeCell="B8" sqref="B8"/>
      <pageMargins left="0.7" right="0.31" top="0.28999999999999998" bottom="0.24" header="0.3" footer="0.3"/>
      <pageSetup orientation="portrait" horizontalDpi="0" verticalDpi="0" r:id="rId2"/>
    </customSheetView>
    <customSheetView guid="{9C839773-0576-4D5E-B841-6D274CD2DC85}" showPageBreaks="1" printArea="1" view="pageBreakPreview">
      <selection activeCell="B8" sqref="B8"/>
      <pageMargins left="0.7" right="0.31" top="0.28999999999999998" bottom="0.24" header="0.3" footer="0.3"/>
      <pageSetup orientation="portrait" horizontalDpi="0" verticalDpi="0" r:id="rId3"/>
    </customSheetView>
    <customSheetView guid="{25DE02B3-1CDA-48F7-89E3-3677026220D5}" showPageBreaks="1" printArea="1" view="pageBreakPreview">
      <selection activeCell="B8" sqref="B8"/>
      <pageMargins left="0.7" right="0.31" top="0.28999999999999998" bottom="0.24" header="0.3" footer="0.3"/>
      <pageSetup orientation="portrait" horizontalDpi="0" verticalDpi="0" r:id="rId4"/>
    </customSheetView>
  </customSheetViews>
  <pageMargins left="0.7" right="0.31" top="0.28999999999999998" bottom="0.24" header="0.3" footer="0.3"/>
  <pageSetup orientation="portrait" horizontalDpi="0" verticalDpi="0"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5CED7-CFF3-42B4-A80D-3DD4DB2D96CE}">
  <dimension ref="A1:F60"/>
  <sheetViews>
    <sheetView workbookViewId="0">
      <selection sqref="A1:XFD1048576"/>
    </sheetView>
  </sheetViews>
  <sheetFormatPr defaultRowHeight="14.5" x14ac:dyDescent="0.35"/>
  <cols>
    <col min="2" max="2" width="31.7265625" customWidth="1"/>
    <col min="3" max="3" width="29.1796875" customWidth="1"/>
    <col min="4" max="4" width="17.1796875" customWidth="1"/>
    <col min="5" max="5" width="19.453125" customWidth="1"/>
  </cols>
  <sheetData>
    <row r="1" spans="1:4" ht="15" thickBot="1" x14ac:dyDescent="0.4">
      <c r="A1" s="85"/>
      <c r="B1" s="86" t="str">
        <f>'Output-Risk Profile'!B3</f>
        <v>संस्थाको नाम</v>
      </c>
      <c r="C1" s="86" t="str">
        <f>'Input-TB'!C1</f>
        <v>ABC SACCOS</v>
      </c>
      <c r="D1" s="87"/>
    </row>
    <row r="2" spans="1:4" x14ac:dyDescent="0.35">
      <c r="A2" s="88"/>
      <c r="B2" t="str">
        <f>'Output-Risk Profile'!B4</f>
        <v xml:space="preserve">जिल्ला </v>
      </c>
      <c r="C2" s="86" t="str">
        <f>'Input-TB'!C2</f>
        <v>ABC SACCOS</v>
      </c>
      <c r="D2" s="89"/>
    </row>
    <row r="3" spans="1:4" x14ac:dyDescent="0.35">
      <c r="A3" s="88"/>
      <c r="B3" t="s">
        <v>616</v>
      </c>
      <c r="C3" s="84" t="str">
        <f>'Input-TB'!C9</f>
        <v>2082-03-32</v>
      </c>
      <c r="D3" s="89"/>
    </row>
    <row r="4" spans="1:4" x14ac:dyDescent="0.35">
      <c r="A4" s="90" t="s">
        <v>121</v>
      </c>
      <c r="B4" s="17" t="s">
        <v>72</v>
      </c>
      <c r="C4" s="20" t="s">
        <v>73</v>
      </c>
      <c r="D4" s="91" t="s">
        <v>60</v>
      </c>
    </row>
    <row r="5" spans="1:4" x14ac:dyDescent="0.35">
      <c r="A5" s="92">
        <v>10</v>
      </c>
      <c r="B5" s="17" t="s">
        <v>74</v>
      </c>
      <c r="C5" s="17" t="s">
        <v>75</v>
      </c>
      <c r="D5" s="93">
        <f>'Input-TB'!D11</f>
        <v>0</v>
      </c>
    </row>
    <row r="6" spans="1:4" x14ac:dyDescent="0.35">
      <c r="A6" s="92">
        <v>20</v>
      </c>
      <c r="B6" s="17" t="s">
        <v>76</v>
      </c>
      <c r="C6" s="17" t="s">
        <v>77</v>
      </c>
      <c r="D6" s="93">
        <f>SUM(D7:D13)</f>
        <v>0</v>
      </c>
    </row>
    <row r="7" spans="1:4" x14ac:dyDescent="0.35">
      <c r="A7" s="94">
        <v>20.100000000000001</v>
      </c>
      <c r="B7" s="12" t="s">
        <v>78</v>
      </c>
      <c r="C7" s="12" t="s">
        <v>79</v>
      </c>
      <c r="D7" s="95">
        <f>'Input-TB'!D13</f>
        <v>0</v>
      </c>
    </row>
    <row r="8" spans="1:4" x14ac:dyDescent="0.35">
      <c r="A8" s="94">
        <v>20.2</v>
      </c>
      <c r="B8" s="12" t="s">
        <v>80</v>
      </c>
      <c r="C8" s="12" t="s">
        <v>81</v>
      </c>
      <c r="D8" s="95">
        <f>'Input-TB'!D14</f>
        <v>0</v>
      </c>
    </row>
    <row r="9" spans="1:4" x14ac:dyDescent="0.35">
      <c r="A9" s="94">
        <v>20.3</v>
      </c>
      <c r="B9" s="12" t="s">
        <v>83</v>
      </c>
      <c r="C9" s="13" t="s">
        <v>84</v>
      </c>
      <c r="D9" s="95">
        <f>'Input-TB'!D15</f>
        <v>0</v>
      </c>
    </row>
    <row r="10" spans="1:4" ht="37.5" x14ac:dyDescent="0.35">
      <c r="A10" s="94">
        <v>20.399999999999999</v>
      </c>
      <c r="B10" s="12" t="s">
        <v>85</v>
      </c>
      <c r="C10" s="13" t="s">
        <v>86</v>
      </c>
      <c r="D10" s="95">
        <f>'Input-TB'!D16</f>
        <v>0</v>
      </c>
    </row>
    <row r="11" spans="1:4" x14ac:dyDescent="0.35">
      <c r="A11" s="94">
        <v>20.5</v>
      </c>
      <c r="B11" s="12" t="s">
        <v>82</v>
      </c>
      <c r="C11" s="12" t="s">
        <v>67</v>
      </c>
      <c r="D11" s="95">
        <f>'Input-TB'!D17</f>
        <v>0</v>
      </c>
    </row>
    <row r="12" spans="1:4" x14ac:dyDescent="0.35">
      <c r="A12" s="94">
        <v>20.6</v>
      </c>
      <c r="B12" s="15" t="s">
        <v>587</v>
      </c>
      <c r="C12" s="12" t="s">
        <v>588</v>
      </c>
      <c r="D12" s="95">
        <f>IF('Input-Loan Ageing'!F21&gt;0,'Input-Loan Ageing'!F21,0)</f>
        <v>0</v>
      </c>
    </row>
    <row r="13" spans="1:4" x14ac:dyDescent="0.35">
      <c r="A13" s="94">
        <v>20.7</v>
      </c>
      <c r="B13" s="12" t="s">
        <v>205</v>
      </c>
      <c r="C13" s="12" t="s">
        <v>239</v>
      </c>
      <c r="D13" s="96">
        <f>'Output-PL'!D27</f>
        <v>0</v>
      </c>
    </row>
    <row r="14" spans="1:4" x14ac:dyDescent="0.35">
      <c r="A14" s="92">
        <v>30</v>
      </c>
      <c r="B14" s="17" t="s">
        <v>87</v>
      </c>
      <c r="C14" s="17" t="s">
        <v>88</v>
      </c>
      <c r="D14" s="93">
        <f>SUM(D15:D18)</f>
        <v>0</v>
      </c>
    </row>
    <row r="15" spans="1:4" x14ac:dyDescent="0.35">
      <c r="A15" s="94">
        <v>30.1</v>
      </c>
      <c r="B15" s="12" t="s">
        <v>89</v>
      </c>
      <c r="C15" s="12" t="s">
        <v>90</v>
      </c>
      <c r="D15" s="95">
        <f>'Input-TB'!D19</f>
        <v>0</v>
      </c>
    </row>
    <row r="16" spans="1:4" x14ac:dyDescent="0.35">
      <c r="A16" s="94">
        <v>30.2</v>
      </c>
      <c r="B16" s="12" t="s">
        <v>91</v>
      </c>
      <c r="C16" s="12" t="s">
        <v>92</v>
      </c>
      <c r="D16" s="95">
        <f>'Input-TB'!D20</f>
        <v>0</v>
      </c>
    </row>
    <row r="17" spans="1:6" x14ac:dyDescent="0.35">
      <c r="A17" s="94">
        <v>30.3</v>
      </c>
      <c r="B17" s="12" t="s">
        <v>93</v>
      </c>
      <c r="C17" s="12" t="s">
        <v>94</v>
      </c>
      <c r="D17" s="95">
        <f>'Input-TB'!D21</f>
        <v>0</v>
      </c>
    </row>
    <row r="18" spans="1:6" x14ac:dyDescent="0.35">
      <c r="A18" s="94">
        <v>30.4</v>
      </c>
      <c r="B18" s="12" t="s">
        <v>95</v>
      </c>
      <c r="C18" s="12" t="s">
        <v>96</v>
      </c>
      <c r="D18" s="95">
        <f>'Input-TB'!D22</f>
        <v>0</v>
      </c>
    </row>
    <row r="19" spans="1:6" x14ac:dyDescent="0.35">
      <c r="A19" s="92">
        <v>40</v>
      </c>
      <c r="B19" s="17" t="s">
        <v>97</v>
      </c>
      <c r="C19" s="17" t="s">
        <v>98</v>
      </c>
      <c r="D19" s="93">
        <f>SUM(D20:D21)</f>
        <v>0</v>
      </c>
    </row>
    <row r="20" spans="1:6" ht="26" x14ac:dyDescent="0.35">
      <c r="A20" s="94">
        <v>40.1</v>
      </c>
      <c r="B20" s="15" t="s">
        <v>68</v>
      </c>
      <c r="C20" s="12" t="s">
        <v>187</v>
      </c>
      <c r="D20" s="95">
        <f>'Input-TB'!D24</f>
        <v>0</v>
      </c>
    </row>
    <row r="21" spans="1:6" ht="26" x14ac:dyDescent="0.35">
      <c r="A21" s="94">
        <v>40.200000000000003</v>
      </c>
      <c r="B21" s="15" t="s">
        <v>69</v>
      </c>
      <c r="C21" s="12" t="s">
        <v>188</v>
      </c>
      <c r="D21" s="95">
        <f>'Input-TB'!D25</f>
        <v>0</v>
      </c>
    </row>
    <row r="22" spans="1:6" x14ac:dyDescent="0.35">
      <c r="A22" s="92">
        <v>50</v>
      </c>
      <c r="B22" s="17" t="s">
        <v>99</v>
      </c>
      <c r="C22" s="17" t="s">
        <v>100</v>
      </c>
      <c r="D22" s="93">
        <f>'Input-TB'!D26</f>
        <v>0</v>
      </c>
    </row>
    <row r="23" spans="1:6" x14ac:dyDescent="0.35">
      <c r="A23" s="92">
        <v>60</v>
      </c>
      <c r="B23" s="17" t="s">
        <v>101</v>
      </c>
      <c r="C23" s="17" t="s">
        <v>102</v>
      </c>
      <c r="D23" s="93">
        <f>SUM(D24:D24)</f>
        <v>0</v>
      </c>
    </row>
    <row r="24" spans="1:6" x14ac:dyDescent="0.35">
      <c r="A24" s="94">
        <v>60.1</v>
      </c>
      <c r="B24" s="15" t="s">
        <v>70</v>
      </c>
      <c r="C24" s="12" t="s">
        <v>185</v>
      </c>
      <c r="D24" s="95">
        <f>'Input-TB'!D28</f>
        <v>0</v>
      </c>
    </row>
    <row r="25" spans="1:6" x14ac:dyDescent="0.35">
      <c r="A25" s="92">
        <v>70</v>
      </c>
      <c r="B25" s="17" t="s">
        <v>107</v>
      </c>
      <c r="C25" s="17" t="s">
        <v>108</v>
      </c>
      <c r="D25" s="91">
        <f>'Input-TB'!D32</f>
        <v>0</v>
      </c>
    </row>
    <row r="26" spans="1:6" x14ac:dyDescent="0.35">
      <c r="A26" s="92"/>
      <c r="B26" s="17" t="s">
        <v>206</v>
      </c>
      <c r="C26" s="17"/>
      <c r="D26" s="91">
        <f>D25+D23+D22+D19+D14+D6+D5</f>
        <v>0</v>
      </c>
      <c r="F26">
        <f>D26-D60</f>
        <v>0</v>
      </c>
    </row>
    <row r="27" spans="1:6" x14ac:dyDescent="0.35">
      <c r="A27" s="97"/>
      <c r="B27" s="1"/>
      <c r="C27" s="1"/>
      <c r="D27" s="98"/>
    </row>
    <row r="28" spans="1:6" x14ac:dyDescent="0.35">
      <c r="A28" s="101" t="s">
        <v>59</v>
      </c>
      <c r="B28" s="19" t="s">
        <v>72</v>
      </c>
      <c r="C28" s="19" t="s">
        <v>73</v>
      </c>
      <c r="D28" s="102" t="s">
        <v>184</v>
      </c>
    </row>
    <row r="29" spans="1:6" x14ac:dyDescent="0.35">
      <c r="A29" s="101">
        <f>'Input-TB'!F5</f>
        <v>80</v>
      </c>
      <c r="B29" s="19" t="str">
        <f>'Input-TB'!G5</f>
        <v>Cash in Hand</v>
      </c>
      <c r="C29" s="19" t="str">
        <f>'Input-TB'!H5</f>
        <v>नगद मौज्दात</v>
      </c>
      <c r="D29" s="102">
        <f>'Input-TB'!I5</f>
        <v>0</v>
      </c>
    </row>
    <row r="30" spans="1:6" x14ac:dyDescent="0.35">
      <c r="A30" s="101">
        <f>'Input-TB'!F6</f>
        <v>90</v>
      </c>
      <c r="B30" s="19" t="str">
        <f>'Input-TB'!G6</f>
        <v>Cash at Bank</v>
      </c>
      <c r="C30" s="19" t="str">
        <f>'Input-TB'!H6</f>
        <v>बैंक हिसाब</v>
      </c>
      <c r="D30" s="102">
        <f>'Input-TB'!I6</f>
        <v>0</v>
      </c>
    </row>
    <row r="31" spans="1:6" ht="43.5" x14ac:dyDescent="0.35">
      <c r="A31" s="101">
        <f>'Input-TB'!F7</f>
        <v>90.1</v>
      </c>
      <c r="B31" s="19" t="str">
        <f>'Input-TB'!G7</f>
        <v>Balance in Central Bank Licensing Banks &amp; Financial Institutions</v>
      </c>
      <c r="C31" s="19" t="str">
        <f>'Input-TB'!H7</f>
        <v>नेपाल राष्ट्र बैंकबाट इजाजतपत्र प्राप्त बैंक तथा वित्तीय संस्थामा रहेको मौज्दात</v>
      </c>
      <c r="D31" s="102">
        <f>'Input-TB'!I7</f>
        <v>0</v>
      </c>
    </row>
    <row r="32" spans="1:6" ht="43.5" x14ac:dyDescent="0.35">
      <c r="A32" s="101">
        <f>'Input-TB'!F8</f>
        <v>90.2</v>
      </c>
      <c r="B32" s="19" t="str">
        <f>'Input-TB'!G8</f>
        <v>Balance in Central Bank Licensing Coop Banks</v>
      </c>
      <c r="C32" s="19" t="str">
        <f>'Input-TB'!H8</f>
        <v>नेपाल राष्ट्र बैंकबाट इजाजतपत्र प्राप्त सहकारी बैंकहरुमा रहेको मौज्दात</v>
      </c>
      <c r="D32" s="102">
        <f>'Input-TB'!I8</f>
        <v>0</v>
      </c>
    </row>
    <row r="33" spans="1:4" x14ac:dyDescent="0.35">
      <c r="A33" s="101">
        <f>'Input-TB'!F9</f>
        <v>90.3</v>
      </c>
      <c r="B33" s="19" t="str">
        <f>'Input-TB'!G9</f>
        <v>Balance in Federations/Networks</v>
      </c>
      <c r="C33" s="19" t="str">
        <f>'Input-TB'!H9</f>
        <v>संघहरुमा रहेको मौज्दात</v>
      </c>
      <c r="D33" s="102">
        <f>'Input-TB'!I9</f>
        <v>0</v>
      </c>
    </row>
    <row r="34" spans="1:4" ht="29" x14ac:dyDescent="0.35">
      <c r="A34" s="101">
        <f>'Input-TB'!F10</f>
        <v>90.4</v>
      </c>
      <c r="B34" s="19" t="str">
        <f>'Input-TB'!G10</f>
        <v>Off-Banks Liquid Assets (E-Sewa, Khalti)</v>
      </c>
      <c r="C34" s="19" t="str">
        <f>'Input-TB'!H10</f>
        <v>अन्यमा रहेको मौज्दात</v>
      </c>
      <c r="D34" s="102">
        <f>'Input-TB'!I10</f>
        <v>0</v>
      </c>
    </row>
    <row r="35" spans="1:4" x14ac:dyDescent="0.35">
      <c r="A35" s="101">
        <f>'Input-TB'!F11</f>
        <v>100</v>
      </c>
      <c r="B35" s="19" t="str">
        <f>'Input-TB'!G11</f>
        <v>Investment</v>
      </c>
      <c r="C35" s="19" t="str">
        <f>'Input-TB'!H11</f>
        <v>लगानी हिसाब</v>
      </c>
      <c r="D35" s="102">
        <f>'Input-TB'!I11</f>
        <v>0</v>
      </c>
    </row>
    <row r="36" spans="1:4" ht="43.5" x14ac:dyDescent="0.35">
      <c r="A36" s="101">
        <f>'Input-TB'!F12</f>
        <v>100.1</v>
      </c>
      <c r="B36" s="19" t="str">
        <f>'Input-TB'!G12</f>
        <v>Fixed Deposit in Central Bank Licensing Financial Institutions</v>
      </c>
      <c r="C36" s="19" t="str">
        <f>'Input-TB'!H12</f>
        <v>नेपाल राष्ट्र बैंकबाट इजाजतपत्र प्राप्त बैंक तथा वित्तीय संस्थामा रहेको मुद्दती बचत</v>
      </c>
      <c r="D36" s="102">
        <f>'Input-TB'!I12</f>
        <v>0</v>
      </c>
    </row>
    <row r="37" spans="1:4" ht="43.5" x14ac:dyDescent="0.35">
      <c r="A37" s="101">
        <f>'Input-TB'!F13</f>
        <v>100.2</v>
      </c>
      <c r="B37" s="19" t="str">
        <f>'Input-TB'!G13</f>
        <v>Fixed Deposit in Central Bank Licensing Coop Banks</v>
      </c>
      <c r="C37" s="19" t="str">
        <f>'Input-TB'!H13</f>
        <v>नेपाल राष्ट्र बैंकबाट इजाजतपत्र प्राप्त सहकारी बैंकहरुमा रहेको मुद्दती बचत</v>
      </c>
      <c r="D37" s="102">
        <f>'Input-TB'!I13</f>
        <v>0</v>
      </c>
    </row>
    <row r="38" spans="1:4" ht="29" x14ac:dyDescent="0.35">
      <c r="A38" s="101">
        <f>'Input-TB'!F14</f>
        <v>100.3</v>
      </c>
      <c r="B38" s="19" t="str">
        <f>'Input-TB'!G14</f>
        <v>Investment in Government Securities</v>
      </c>
      <c r="C38" s="19" t="str">
        <f>'Input-TB'!H14</f>
        <v>सरकारी ऋणपत्रमा गरेको लगानी</v>
      </c>
      <c r="D38" s="102">
        <f>'Input-TB'!I14</f>
        <v>0</v>
      </c>
    </row>
    <row r="39" spans="1:4" ht="29" x14ac:dyDescent="0.35">
      <c r="A39" s="101">
        <f>'Input-TB'!F15</f>
        <v>100.4</v>
      </c>
      <c r="B39" s="19" t="str">
        <f>'Input-TB'!G15</f>
        <v>Fixed Deposit in Federations/Networks</v>
      </c>
      <c r="C39" s="19" t="str">
        <f>'Input-TB'!H15</f>
        <v>संघहरुमा रहेको मुद्दती बचत</v>
      </c>
      <c r="D39" s="102">
        <f>'Input-TB'!I15</f>
        <v>0</v>
      </c>
    </row>
    <row r="40" spans="1:4" ht="29" x14ac:dyDescent="0.35">
      <c r="A40" s="101">
        <f>'Input-TB'!F16</f>
        <v>100.5</v>
      </c>
      <c r="B40" s="19" t="str">
        <f>'Input-TB'!G16</f>
        <v>Shares and Regular Savings in Federations/Networks</v>
      </c>
      <c r="C40" s="19" t="str">
        <f>'Input-TB'!H16</f>
        <v>शेयर लगानी एवं संघहरुमा गरिएको नियमित बचत</v>
      </c>
      <c r="D40" s="102">
        <f>'Input-TB'!I16</f>
        <v>0</v>
      </c>
    </row>
    <row r="41" spans="1:4" ht="29" x14ac:dyDescent="0.35">
      <c r="A41" s="101">
        <f>'Input-TB'!F17</f>
        <v>100.6</v>
      </c>
      <c r="B41" s="19" t="str">
        <f>'Input-TB'!G17</f>
        <v xml:space="preserve">Investment in Specialized Coop Federation </v>
      </c>
      <c r="C41" s="19" t="str">
        <f>'Input-TB'!H17</f>
        <v xml:space="preserve">विशिष्टीकृत संघहरुमा लगानी </v>
      </c>
      <c r="D41" s="102">
        <f>'Input-TB'!I17</f>
        <v>0</v>
      </c>
    </row>
    <row r="42" spans="1:4" ht="43.5" x14ac:dyDescent="0.35">
      <c r="A42" s="101">
        <f>'Input-TB'!F18</f>
        <v>100.7</v>
      </c>
      <c r="B42" s="19" t="str">
        <f>'Input-TB'!G18</f>
        <v>Investment in Non-Financial Investment</v>
      </c>
      <c r="C42" s="19" t="str">
        <f>'Input-TB'!H18</f>
        <v>गैर वित्तीय क्षेत्रमा शेयर लगानी (सुपरमार्केट, हस्पिटल, स्कुल आदिमा गरिएको लगानी)</v>
      </c>
      <c r="D42" s="102">
        <f>'Input-TB'!I18</f>
        <v>0</v>
      </c>
    </row>
    <row r="43" spans="1:4" x14ac:dyDescent="0.35">
      <c r="A43" s="101">
        <f>'Input-TB'!F19</f>
        <v>110</v>
      </c>
      <c r="B43" s="19" t="str">
        <f>'Input-TB'!G19</f>
        <v>Loan Investment</v>
      </c>
      <c r="C43" s="19" t="str">
        <f>'Input-TB'!H19</f>
        <v>ऋण लगानी</v>
      </c>
      <c r="D43" s="102">
        <f>'Input-TB'!I19</f>
        <v>0</v>
      </c>
    </row>
    <row r="44" spans="1:4" ht="29" x14ac:dyDescent="0.35">
      <c r="A44" s="101">
        <f>'Input-TB'!F20</f>
        <v>110.1</v>
      </c>
      <c r="B44" s="19" t="str">
        <f>'Input-TB'!G20</f>
        <v>Loan Against Savings (Not Exceeding 90% of Savings)</v>
      </c>
      <c r="C44" s="19" t="str">
        <f>'Input-TB'!H20</f>
        <v>बचत सुरक्षणमा प्रवाह गरिएको लगानीमा रहेको ऋण रकम</v>
      </c>
      <c r="D44" s="102">
        <f>'Input-TB'!I20</f>
        <v>0</v>
      </c>
    </row>
    <row r="45" spans="1:4" ht="43.5" x14ac:dyDescent="0.35">
      <c r="A45" s="101">
        <f>'Input-TB'!F21</f>
        <v>110.2</v>
      </c>
      <c r="B45" s="19" t="str">
        <f>'Input-TB'!G21</f>
        <v>Collateral Loan (Self-Family owned Collateral)</v>
      </c>
      <c r="C45" s="19" t="str">
        <f>'Input-TB'!H21</f>
        <v>धितो सुरक्षण (स्वयं र पारिवारिक धितो) मा प्रवाह गरिएको लगानीमा रहेको ऋण रकम</v>
      </c>
      <c r="D45" s="102">
        <f>'Input-TB'!I21</f>
        <v>0</v>
      </c>
    </row>
    <row r="46" spans="1:4" ht="29" x14ac:dyDescent="0.35">
      <c r="A46" s="101">
        <f>'Input-TB'!F22</f>
        <v>110.3</v>
      </c>
      <c r="B46" s="19" t="str">
        <f>'Input-TB'!G22</f>
        <v>Non-Collateral Loan</v>
      </c>
      <c r="C46" s="19" t="str">
        <f>'Input-TB'!H22</f>
        <v>बिना धितोमा प्रवाह गरिएको लगानीमा रहेको ऋण रकम</v>
      </c>
      <c r="D46" s="102">
        <f>'Input-TB'!I22</f>
        <v>0</v>
      </c>
    </row>
    <row r="47" spans="1:4" ht="29" x14ac:dyDescent="0.35">
      <c r="A47" s="101">
        <f>'Input-TB'!F23</f>
        <v>110.4</v>
      </c>
      <c r="B47" s="19" t="str">
        <f>'Input-TB'!G23</f>
        <v>Third Party Collateral Loan</v>
      </c>
      <c r="C47" s="19" t="str">
        <f>'Input-TB'!H23</f>
        <v>तेस्रो पक्ष धितोमा प्रवाह गरिएको लगानीमा रहेको ऋण रकम</v>
      </c>
      <c r="D47" s="102">
        <f>'Input-TB'!I23</f>
        <v>0</v>
      </c>
    </row>
    <row r="48" spans="1:4" x14ac:dyDescent="0.35">
      <c r="A48" s="99" t="s">
        <v>229</v>
      </c>
      <c r="B48" s="18" t="s">
        <v>232</v>
      </c>
      <c r="C48" s="18" t="s">
        <v>233</v>
      </c>
      <c r="D48" s="98">
        <f>'Input-Loan Ageing'!E18</f>
        <v>0</v>
      </c>
    </row>
    <row r="49" spans="1:4" x14ac:dyDescent="0.35">
      <c r="A49" s="101"/>
      <c r="B49" s="19" t="s">
        <v>236</v>
      </c>
      <c r="C49" s="19"/>
      <c r="D49" s="103">
        <f>D43-D48</f>
        <v>0</v>
      </c>
    </row>
    <row r="50" spans="1:4" x14ac:dyDescent="0.35">
      <c r="A50" s="101">
        <f>'Input-TB'!F24</f>
        <v>120</v>
      </c>
      <c r="B50" s="19" t="str">
        <f>'Input-TB'!G24</f>
        <v>Receivable</v>
      </c>
      <c r="C50" s="19" t="str">
        <f>'Input-TB'!H24</f>
        <v>पाउनु पर्ने हिसाब</v>
      </c>
      <c r="D50" s="102">
        <f>'Input-TB'!I24</f>
        <v>0</v>
      </c>
    </row>
    <row r="51" spans="1:4" x14ac:dyDescent="0.35">
      <c r="A51" s="101">
        <f>'Input-TB'!F25</f>
        <v>130</v>
      </c>
      <c r="B51" s="19" t="str">
        <f>'Input-TB'!G25</f>
        <v>Fixed Assets</v>
      </c>
      <c r="C51" s="19" t="str">
        <f>'Input-TB'!H25</f>
        <v>स्थिर सम्पत्ति</v>
      </c>
      <c r="D51" s="102">
        <f>'Input-TB'!I25</f>
        <v>0</v>
      </c>
    </row>
    <row r="52" spans="1:4" x14ac:dyDescent="0.35">
      <c r="A52" s="101">
        <f>'Input-TB'!F26</f>
        <v>130.1</v>
      </c>
      <c r="B52" s="19" t="str">
        <f>'Input-TB'!G26</f>
        <v>Land &amp; Building</v>
      </c>
      <c r="C52" s="19" t="str">
        <f>'Input-TB'!H26</f>
        <v>घर जग्गा</v>
      </c>
      <c r="D52" s="102">
        <f>'Input-TB'!I26</f>
        <v>0</v>
      </c>
    </row>
    <row r="53" spans="1:4" ht="29" x14ac:dyDescent="0.35">
      <c r="A53" s="101">
        <f>'Input-TB'!F27</f>
        <v>130.19999999999999</v>
      </c>
      <c r="B53" s="19" t="str">
        <f>'Input-TB'!G27</f>
        <v>Other Fixed Assets beyond Land &amp; Building</v>
      </c>
      <c r="C53" s="19" t="str">
        <f>'Input-TB'!H27</f>
        <v>घरजग्गा बाहेकको अन्य स्थिर सम्पत्ति</v>
      </c>
      <c r="D53" s="102">
        <f>'Input-TB'!I27</f>
        <v>0</v>
      </c>
    </row>
    <row r="54" spans="1:4" x14ac:dyDescent="0.35">
      <c r="A54" s="101">
        <f>'Input-TB'!F28</f>
        <v>140</v>
      </c>
      <c r="B54" s="19" t="str">
        <f>'Input-TB'!G28</f>
        <v>Other Assets</v>
      </c>
      <c r="C54" s="19" t="str">
        <f>'Input-TB'!H28</f>
        <v>अन्य सम्पत्तिहरु</v>
      </c>
      <c r="D54" s="102">
        <f>D57+D58</f>
        <v>0</v>
      </c>
    </row>
    <row r="55" spans="1:4" x14ac:dyDescent="0.35">
      <c r="A55" s="101">
        <f>'Input-TB'!F29</f>
        <v>140.1</v>
      </c>
      <c r="B55" s="19" t="str">
        <f>'Input-TB'!G29</f>
        <v>Non-Banking Assets</v>
      </c>
      <c r="C55" s="19" t="str">
        <f>'Input-TB'!H29</f>
        <v>गैह्र बैंकिङ सम्पत्ति</v>
      </c>
      <c r="D55" s="102">
        <f>'Input-TB'!I29</f>
        <v>0</v>
      </c>
    </row>
    <row r="56" spans="1:4" ht="26" x14ac:dyDescent="0.35">
      <c r="A56" s="99" t="s">
        <v>229</v>
      </c>
      <c r="B56" s="12" t="s">
        <v>103</v>
      </c>
      <c r="C56" s="13" t="s">
        <v>104</v>
      </c>
      <c r="D56" s="95">
        <f>D55*100%*-1</f>
        <v>0</v>
      </c>
    </row>
    <row r="57" spans="1:4" x14ac:dyDescent="0.35">
      <c r="A57" s="101"/>
      <c r="B57" s="17" t="s">
        <v>230</v>
      </c>
      <c r="C57" s="20" t="s">
        <v>231</v>
      </c>
      <c r="D57" s="93">
        <f>D55+D56</f>
        <v>0</v>
      </c>
    </row>
    <row r="58" spans="1:4" x14ac:dyDescent="0.35">
      <c r="A58" s="99">
        <f>'Input-TB'!F30</f>
        <v>140.19999999999999</v>
      </c>
      <c r="B58" s="18" t="str">
        <f>'Input-TB'!G30</f>
        <v>Other Assets</v>
      </c>
      <c r="C58" s="18" t="str">
        <f>'Input-TB'!H30</f>
        <v>अन्य सम्पत्ति</v>
      </c>
      <c r="D58" s="100">
        <f>'Input-TB'!I30</f>
        <v>0</v>
      </c>
    </row>
    <row r="59" spans="1:4" ht="37.5" x14ac:dyDescent="0.35">
      <c r="A59" s="97"/>
      <c r="B59" s="12" t="s">
        <v>238</v>
      </c>
      <c r="C59" s="13" t="s">
        <v>106</v>
      </c>
      <c r="D59" s="98">
        <f>'Input-TB'!D31*-1</f>
        <v>0</v>
      </c>
    </row>
    <row r="60" spans="1:4" ht="15" thickBot="1" x14ac:dyDescent="0.4">
      <c r="A60" s="104"/>
      <c r="B60" s="105" t="s">
        <v>237</v>
      </c>
      <c r="C60" s="105"/>
      <c r="D60" s="106">
        <f>D59+D54+D51+D50+D49+D35+D30+D29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3ACE2-8802-4060-BDBF-BCD2B0D3BA99}">
  <dimension ref="A1:D27"/>
  <sheetViews>
    <sheetView view="pageBreakPreview" zoomScale="95" zoomScaleNormal="100" zoomScaleSheetLayoutView="95" workbookViewId="0">
      <selection sqref="A1:XFD1048576"/>
    </sheetView>
  </sheetViews>
  <sheetFormatPr defaultRowHeight="14.5" x14ac:dyDescent="0.35"/>
  <cols>
    <col min="1" max="1" width="8.6328125" customWidth="1"/>
    <col min="2" max="2" width="30.6328125" bestFit="1" customWidth="1"/>
    <col min="3" max="3" width="36.6328125" bestFit="1" customWidth="1"/>
    <col min="4" max="4" width="11.26953125" customWidth="1"/>
  </cols>
  <sheetData>
    <row r="1" spans="1:4" x14ac:dyDescent="0.35">
      <c r="A1" s="85"/>
      <c r="B1" s="86" t="str">
        <f>'Output-Balance Sheet'!B1</f>
        <v>संस्थाको नाम</v>
      </c>
      <c r="C1" s="86" t="str">
        <f>'Output-Balance Sheet'!C1</f>
        <v>ABC SACCOS</v>
      </c>
      <c r="D1" s="87"/>
    </row>
    <row r="2" spans="1:4" x14ac:dyDescent="0.35">
      <c r="A2" s="88"/>
      <c r="B2" t="str">
        <f>'Output-Balance Sheet'!B2</f>
        <v xml:space="preserve">जिल्ला </v>
      </c>
      <c r="C2" t="str">
        <f>'Output-Balance Sheet'!C2</f>
        <v>ABC SACCOS</v>
      </c>
      <c r="D2" s="89"/>
    </row>
    <row r="3" spans="1:4" x14ac:dyDescent="0.35">
      <c r="A3" s="88"/>
      <c r="B3" t="s">
        <v>617</v>
      </c>
      <c r="C3" s="107" t="str">
        <f>'Output-Balance Sheet'!C3</f>
        <v>2082-03-32</v>
      </c>
      <c r="D3" s="89"/>
    </row>
    <row r="4" spans="1:4" x14ac:dyDescent="0.35">
      <c r="A4" s="88"/>
      <c r="B4" t="s">
        <v>189</v>
      </c>
      <c r="D4" s="89" t="s">
        <v>197</v>
      </c>
    </row>
    <row r="5" spans="1:4" x14ac:dyDescent="0.35">
      <c r="A5" s="94">
        <v>160.1</v>
      </c>
      <c r="B5" s="12" t="s">
        <v>111</v>
      </c>
      <c r="C5" s="13" t="s">
        <v>112</v>
      </c>
      <c r="D5" s="95">
        <f>'Input-TB'!D34</f>
        <v>0</v>
      </c>
    </row>
    <row r="6" spans="1:4" ht="26" x14ac:dyDescent="0.35">
      <c r="A6" s="94">
        <v>160.19999999999999</v>
      </c>
      <c r="B6" s="12" t="s">
        <v>113</v>
      </c>
      <c r="C6" s="13" t="s">
        <v>114</v>
      </c>
      <c r="D6" s="95">
        <f>'Input-TB'!D35</f>
        <v>0</v>
      </c>
    </row>
    <row r="7" spans="1:4" ht="26" x14ac:dyDescent="0.35">
      <c r="A7" s="94">
        <v>160.30000000000001</v>
      </c>
      <c r="B7" s="12" t="s">
        <v>115</v>
      </c>
      <c r="C7" s="13" t="s">
        <v>116</v>
      </c>
      <c r="D7" s="95">
        <f>'Input-TB'!D36</f>
        <v>0</v>
      </c>
    </row>
    <row r="8" spans="1:4" x14ac:dyDescent="0.35">
      <c r="A8" s="108"/>
      <c r="B8" s="22" t="s">
        <v>193</v>
      </c>
      <c r="C8" s="23" t="s">
        <v>192</v>
      </c>
      <c r="D8" s="109">
        <f>SUM(D5:D7)</f>
        <v>0</v>
      </c>
    </row>
    <row r="9" spans="1:4" x14ac:dyDescent="0.35">
      <c r="A9" s="99">
        <v>150.1</v>
      </c>
      <c r="B9" s="18" t="s">
        <v>168</v>
      </c>
      <c r="C9" s="18" t="s">
        <v>169</v>
      </c>
      <c r="D9" s="98">
        <f>'Input-TB'!I32</f>
        <v>0</v>
      </c>
    </row>
    <row r="10" spans="1:4" x14ac:dyDescent="0.35">
      <c r="A10" s="99">
        <v>150.19999999999999</v>
      </c>
      <c r="B10" s="18" t="s">
        <v>170</v>
      </c>
      <c r="C10" s="18" t="s">
        <v>171</v>
      </c>
      <c r="D10" s="98">
        <f>'Input-TB'!I33</f>
        <v>0</v>
      </c>
    </row>
    <row r="11" spans="1:4" x14ac:dyDescent="0.35">
      <c r="A11" s="108"/>
      <c r="B11" s="22" t="s">
        <v>194</v>
      </c>
      <c r="C11" s="23" t="s">
        <v>195</v>
      </c>
      <c r="D11" s="109">
        <f>SUM(D9:D10)</f>
        <v>0</v>
      </c>
    </row>
    <row r="12" spans="1:4" x14ac:dyDescent="0.35">
      <c r="A12" s="108"/>
      <c r="B12" s="22" t="s">
        <v>190</v>
      </c>
      <c r="C12" s="23" t="s">
        <v>191</v>
      </c>
      <c r="D12" s="109">
        <f>D8-D11</f>
        <v>0</v>
      </c>
    </row>
    <row r="13" spans="1:4" x14ac:dyDescent="0.35">
      <c r="A13" s="94">
        <v>160.4</v>
      </c>
      <c r="B13" s="12" t="s">
        <v>117</v>
      </c>
      <c r="C13" s="12" t="s">
        <v>118</v>
      </c>
      <c r="D13" s="96">
        <f>'Input-TB'!D37</f>
        <v>0</v>
      </c>
    </row>
    <row r="14" spans="1:4" x14ac:dyDescent="0.35">
      <c r="A14" s="94">
        <v>160.5</v>
      </c>
      <c r="B14" s="12" t="s">
        <v>119</v>
      </c>
      <c r="C14" s="13" t="s">
        <v>120</v>
      </c>
      <c r="D14" s="96">
        <f>'Input-TB'!D38</f>
        <v>0</v>
      </c>
    </row>
    <row r="15" spans="1:4" x14ac:dyDescent="0.35">
      <c r="A15" s="110"/>
      <c r="B15" s="17" t="s">
        <v>198</v>
      </c>
      <c r="C15" s="21"/>
      <c r="D15" s="103">
        <f>D13+D14</f>
        <v>0</v>
      </c>
    </row>
    <row r="16" spans="1:4" x14ac:dyDescent="0.35">
      <c r="A16" s="99">
        <v>150.30000000000001</v>
      </c>
      <c r="B16" s="18" t="s">
        <v>172</v>
      </c>
      <c r="C16" s="18" t="s">
        <v>173</v>
      </c>
      <c r="D16" s="98">
        <f>'Input-TB'!I34</f>
        <v>0</v>
      </c>
    </row>
    <row r="17" spans="1:4" x14ac:dyDescent="0.35">
      <c r="A17" s="99">
        <v>150.4</v>
      </c>
      <c r="B17" s="18" t="s">
        <v>174</v>
      </c>
      <c r="C17" s="18" t="s">
        <v>175</v>
      </c>
      <c r="D17" s="98">
        <f>'Input-TB'!I35</f>
        <v>0</v>
      </c>
    </row>
    <row r="18" spans="1:4" x14ac:dyDescent="0.35">
      <c r="A18" s="99">
        <v>150.5</v>
      </c>
      <c r="B18" s="18" t="s">
        <v>176</v>
      </c>
      <c r="C18" s="18" t="s">
        <v>177</v>
      </c>
      <c r="D18" s="98">
        <f>'Input-TB'!I36</f>
        <v>0</v>
      </c>
    </row>
    <row r="19" spans="1:4" x14ac:dyDescent="0.35">
      <c r="A19" s="99">
        <v>150.6</v>
      </c>
      <c r="B19" s="18" t="s">
        <v>178</v>
      </c>
      <c r="C19" s="18" t="s">
        <v>179</v>
      </c>
      <c r="D19" s="98">
        <f>'Input-TB'!I37</f>
        <v>0</v>
      </c>
    </row>
    <row r="20" spans="1:4" x14ac:dyDescent="0.35">
      <c r="A20" s="99">
        <v>150.69999999999999</v>
      </c>
      <c r="B20" s="18" t="s">
        <v>180</v>
      </c>
      <c r="C20" s="18" t="s">
        <v>181</v>
      </c>
      <c r="D20" s="98">
        <f>'Input-TB'!I38</f>
        <v>0</v>
      </c>
    </row>
    <row r="21" spans="1:4" x14ac:dyDescent="0.35">
      <c r="A21" s="99">
        <v>150.80000000000001</v>
      </c>
      <c r="B21" s="18" t="s">
        <v>182</v>
      </c>
      <c r="C21" s="18" t="s">
        <v>183</v>
      </c>
      <c r="D21" s="98">
        <f>'Input-TB'!I39</f>
        <v>0</v>
      </c>
    </row>
    <row r="22" spans="1:4" x14ac:dyDescent="0.35">
      <c r="A22" s="110"/>
      <c r="B22" s="19" t="s">
        <v>196</v>
      </c>
      <c r="C22" s="21"/>
      <c r="D22" s="103">
        <f>SUM(D16:D21)</f>
        <v>0</v>
      </c>
    </row>
    <row r="23" spans="1:4" x14ac:dyDescent="0.35">
      <c r="A23" s="97"/>
      <c r="B23" s="19" t="s">
        <v>203</v>
      </c>
      <c r="C23" s="21"/>
      <c r="D23" s="103">
        <f>D12+D15-D22</f>
        <v>0</v>
      </c>
    </row>
    <row r="24" spans="1:4" x14ac:dyDescent="0.35">
      <c r="A24" s="88"/>
      <c r="D24" s="89"/>
    </row>
    <row r="25" spans="1:4" x14ac:dyDescent="0.35">
      <c r="A25" s="97"/>
      <c r="B25" s="1" t="s">
        <v>199</v>
      </c>
      <c r="C25" s="1" t="s">
        <v>201</v>
      </c>
      <c r="D25" s="98">
        <f>IF('Input-Loan Ageing'!F21&lt;0,'Input-Loan Ageing'!F21,0)</f>
        <v>0</v>
      </c>
    </row>
    <row r="26" spans="1:4" x14ac:dyDescent="0.35">
      <c r="A26" s="97"/>
      <c r="B26" s="1" t="s">
        <v>200</v>
      </c>
      <c r="C26" s="1" t="s">
        <v>202</v>
      </c>
      <c r="D26" s="98">
        <f>IF('Input-TB'!I29&gt;'Input-TB'!D30,('Input-TB'!D30-'Input-TB'!I29),('Input-TB'!D30-'Input-TB'!I29))</f>
        <v>0</v>
      </c>
    </row>
    <row r="27" spans="1:4" ht="15" thickBot="1" x14ac:dyDescent="0.4">
      <c r="A27" s="104"/>
      <c r="B27" s="111" t="s">
        <v>204</v>
      </c>
      <c r="C27" s="111"/>
      <c r="D27" s="112">
        <f>D25+D26</f>
        <v>0</v>
      </c>
    </row>
  </sheetData>
  <sheetProtection algorithmName="SHA-512" hashValue="M6dXFVHNxFfQm5MenHz8sqb7jYwqytKzCP1nde67VQH1aEVYyMx1leIHuqhe8c5mfixAkHPvdKC1Az3BkvlIcQ==" saltValue="pcFtbQM+z/Y6UdjrSPpgHQ==" spinCount="100000" sheet="1" objects="1" scenarios="1"/>
  <customSheetViews>
    <customSheetView guid="{B03DA2A8-6E10-4AC8-B8E9-08273B4719D3}" scale="95" showPageBreaks="1" printArea="1" view="pageBreakPreview">
      <pageMargins left="0.7" right="0.7" top="0.75" bottom="0.75" header="0.3" footer="0.3"/>
      <pageSetup orientation="portrait" horizontalDpi="0" verticalDpi="0" r:id="rId1"/>
    </customSheetView>
    <customSheetView guid="{AF169707-4E0F-443B-AC54-AEDA2A2EE592}" scale="95" showPageBreaks="1" printArea="1" view="pageBreakPreview">
      <pageMargins left="0.7" right="0.7" top="0.75" bottom="0.75" header="0.3" footer="0.3"/>
      <pageSetup orientation="portrait" horizontalDpi="0" verticalDpi="0" r:id="rId2"/>
    </customSheetView>
    <customSheetView guid="{9C839773-0576-4D5E-B841-6D274CD2DC85}" scale="95" showPageBreaks="1" printArea="1" view="pageBreakPreview">
      <pageMargins left="0.7" right="0.7" top="0.75" bottom="0.75" header="0.3" footer="0.3"/>
      <pageSetup orientation="portrait" horizontalDpi="0" verticalDpi="0" r:id="rId3"/>
    </customSheetView>
    <customSheetView guid="{25DE02B3-1CDA-48F7-89E3-3677026220D5}" scale="95" showPageBreaks="1" printArea="1" view="pageBreakPreview">
      <pageMargins left="0.7" right="0.7" top="0.75" bottom="0.75" header="0.3" footer="0.3"/>
      <pageSetup orientation="portrait" horizontalDpi="0" verticalDpi="0" r:id="rId4"/>
    </customSheetView>
  </customSheetViews>
  <pageMargins left="0.7" right="0.7" top="0.75" bottom="0.75" header="0.3" footer="0.3"/>
  <pageSetup orientation="portrait" horizontalDpi="0" verticalDpi="0"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EBB35-0898-4269-A550-28F00B801AED}">
  <dimension ref="A1:D27"/>
  <sheetViews>
    <sheetView workbookViewId="0">
      <selection sqref="A1:XFD1048576"/>
    </sheetView>
  </sheetViews>
  <sheetFormatPr defaultRowHeight="14.5" x14ac:dyDescent="0.35"/>
  <cols>
    <col min="1" max="1" width="8.6328125" customWidth="1"/>
    <col min="2" max="2" width="30.6328125" bestFit="1" customWidth="1"/>
    <col min="3" max="3" width="36.6328125" bestFit="1" customWidth="1"/>
    <col min="4" max="4" width="11.26953125" customWidth="1"/>
  </cols>
  <sheetData>
    <row r="1" spans="1:4" x14ac:dyDescent="0.35">
      <c r="A1" s="85"/>
      <c r="B1" s="86" t="str">
        <f>'Output-Balance Sheet'!B1</f>
        <v>संस्थाको नाम</v>
      </c>
      <c r="C1" s="86" t="str">
        <f>'Output-Balance Sheet'!C1</f>
        <v>ABC SACCOS</v>
      </c>
      <c r="D1" s="87"/>
    </row>
    <row r="2" spans="1:4" x14ac:dyDescent="0.35">
      <c r="A2" s="88"/>
      <c r="B2" t="str">
        <f>'Output-Balance Sheet'!B2</f>
        <v xml:space="preserve">जिल्ला </v>
      </c>
      <c r="C2" t="str">
        <f>'Output-Balance Sheet'!C2</f>
        <v>ABC SACCOS</v>
      </c>
      <c r="D2" s="89"/>
    </row>
    <row r="3" spans="1:4" x14ac:dyDescent="0.35">
      <c r="A3" s="88"/>
      <c r="B3" t="s">
        <v>617</v>
      </c>
      <c r="C3" s="107" t="str">
        <f>'Output-Balance Sheet'!C3</f>
        <v>2082-03-32</v>
      </c>
      <c r="D3" s="89"/>
    </row>
    <row r="4" spans="1:4" x14ac:dyDescent="0.35">
      <c r="A4" s="88"/>
      <c r="B4" t="s">
        <v>189</v>
      </c>
      <c r="D4" s="89" t="s">
        <v>197</v>
      </c>
    </row>
    <row r="5" spans="1:4" x14ac:dyDescent="0.35">
      <c r="A5" s="94">
        <v>160.1</v>
      </c>
      <c r="B5" s="12" t="s">
        <v>111</v>
      </c>
      <c r="C5" s="13" t="s">
        <v>112</v>
      </c>
      <c r="D5" s="95">
        <f>'Input-TB'!D34</f>
        <v>0</v>
      </c>
    </row>
    <row r="6" spans="1:4" ht="26" x14ac:dyDescent="0.35">
      <c r="A6" s="94">
        <v>160.19999999999999</v>
      </c>
      <c r="B6" s="12" t="s">
        <v>113</v>
      </c>
      <c r="C6" s="13" t="s">
        <v>114</v>
      </c>
      <c r="D6" s="95">
        <f>'Input-TB'!D35</f>
        <v>0</v>
      </c>
    </row>
    <row r="7" spans="1:4" ht="26" x14ac:dyDescent="0.35">
      <c r="A7" s="94">
        <v>160.30000000000001</v>
      </c>
      <c r="B7" s="12" t="s">
        <v>115</v>
      </c>
      <c r="C7" s="13" t="s">
        <v>116</v>
      </c>
      <c r="D7" s="95">
        <f>'Input-TB'!D36</f>
        <v>0</v>
      </c>
    </row>
    <row r="8" spans="1:4" x14ac:dyDescent="0.35">
      <c r="A8" s="108"/>
      <c r="B8" s="22" t="s">
        <v>193</v>
      </c>
      <c r="C8" s="23" t="s">
        <v>192</v>
      </c>
      <c r="D8" s="109">
        <f>SUM(D5:D7)</f>
        <v>0</v>
      </c>
    </row>
    <row r="9" spans="1:4" x14ac:dyDescent="0.35">
      <c r="A9" s="99">
        <v>150.1</v>
      </c>
      <c r="B9" s="18" t="s">
        <v>168</v>
      </c>
      <c r="C9" s="18" t="s">
        <v>169</v>
      </c>
      <c r="D9" s="98">
        <f>'Input-TB'!I32</f>
        <v>0</v>
      </c>
    </row>
    <row r="10" spans="1:4" x14ac:dyDescent="0.35">
      <c r="A10" s="99">
        <v>150.19999999999999</v>
      </c>
      <c r="B10" s="18" t="s">
        <v>170</v>
      </c>
      <c r="C10" s="18" t="s">
        <v>171</v>
      </c>
      <c r="D10" s="98">
        <f>'Input-TB'!I33</f>
        <v>0</v>
      </c>
    </row>
    <row r="11" spans="1:4" x14ac:dyDescent="0.35">
      <c r="A11" s="108"/>
      <c r="B11" s="22" t="s">
        <v>194</v>
      </c>
      <c r="C11" s="23" t="s">
        <v>195</v>
      </c>
      <c r="D11" s="109">
        <f>SUM(D9:D10)</f>
        <v>0</v>
      </c>
    </row>
    <row r="12" spans="1:4" x14ac:dyDescent="0.35">
      <c r="A12" s="108"/>
      <c r="B12" s="22" t="s">
        <v>190</v>
      </c>
      <c r="C12" s="23" t="s">
        <v>191</v>
      </c>
      <c r="D12" s="109">
        <f>D8-D11</f>
        <v>0</v>
      </c>
    </row>
    <row r="13" spans="1:4" x14ac:dyDescent="0.35">
      <c r="A13" s="94">
        <v>160.4</v>
      </c>
      <c r="B13" s="12" t="s">
        <v>117</v>
      </c>
      <c r="C13" s="12" t="s">
        <v>118</v>
      </c>
      <c r="D13" s="96">
        <f>'Input-TB'!D37</f>
        <v>0</v>
      </c>
    </row>
    <row r="14" spans="1:4" x14ac:dyDescent="0.35">
      <c r="A14" s="94">
        <v>160.5</v>
      </c>
      <c r="B14" s="12" t="s">
        <v>119</v>
      </c>
      <c r="C14" s="13" t="s">
        <v>120</v>
      </c>
      <c r="D14" s="96">
        <f>'Input-TB'!D38</f>
        <v>0</v>
      </c>
    </row>
    <row r="15" spans="1:4" x14ac:dyDescent="0.35">
      <c r="A15" s="110"/>
      <c r="B15" s="17" t="s">
        <v>198</v>
      </c>
      <c r="C15" s="21"/>
      <c r="D15" s="103">
        <f>D13+D14</f>
        <v>0</v>
      </c>
    </row>
    <row r="16" spans="1:4" x14ac:dyDescent="0.35">
      <c r="A16" s="99">
        <v>150.30000000000001</v>
      </c>
      <c r="B16" s="18" t="s">
        <v>172</v>
      </c>
      <c r="C16" s="18" t="s">
        <v>173</v>
      </c>
      <c r="D16" s="98">
        <f>'Input-TB'!I34</f>
        <v>0</v>
      </c>
    </row>
    <row r="17" spans="1:4" x14ac:dyDescent="0.35">
      <c r="A17" s="99">
        <v>150.4</v>
      </c>
      <c r="B17" s="18" t="s">
        <v>174</v>
      </c>
      <c r="C17" s="18" t="s">
        <v>175</v>
      </c>
      <c r="D17" s="98">
        <f>'Input-TB'!I35</f>
        <v>0</v>
      </c>
    </row>
    <row r="18" spans="1:4" x14ac:dyDescent="0.35">
      <c r="A18" s="99">
        <v>150.5</v>
      </c>
      <c r="B18" s="18" t="s">
        <v>176</v>
      </c>
      <c r="C18" s="18" t="s">
        <v>177</v>
      </c>
      <c r="D18" s="98">
        <f>'Input-TB'!I36</f>
        <v>0</v>
      </c>
    </row>
    <row r="19" spans="1:4" x14ac:dyDescent="0.35">
      <c r="A19" s="99">
        <v>150.6</v>
      </c>
      <c r="B19" s="18" t="s">
        <v>178</v>
      </c>
      <c r="C19" s="18" t="s">
        <v>179</v>
      </c>
      <c r="D19" s="98">
        <f>'Input-TB'!I37</f>
        <v>0</v>
      </c>
    </row>
    <row r="20" spans="1:4" x14ac:dyDescent="0.35">
      <c r="A20" s="99">
        <v>150.69999999999999</v>
      </c>
      <c r="B20" s="18" t="s">
        <v>180</v>
      </c>
      <c r="C20" s="18" t="s">
        <v>181</v>
      </c>
      <c r="D20" s="98">
        <f>'Input-TB'!I38</f>
        <v>0</v>
      </c>
    </row>
    <row r="21" spans="1:4" x14ac:dyDescent="0.35">
      <c r="A21" s="99">
        <v>150.80000000000001</v>
      </c>
      <c r="B21" s="18" t="s">
        <v>182</v>
      </c>
      <c r="C21" s="18" t="s">
        <v>183</v>
      </c>
      <c r="D21" s="98">
        <f>'Input-TB'!I39</f>
        <v>0</v>
      </c>
    </row>
    <row r="22" spans="1:4" x14ac:dyDescent="0.35">
      <c r="A22" s="110"/>
      <c r="B22" s="19" t="s">
        <v>196</v>
      </c>
      <c r="C22" s="21"/>
      <c r="D22" s="103">
        <f>SUM(D16:D21)</f>
        <v>0</v>
      </c>
    </row>
    <row r="23" spans="1:4" x14ac:dyDescent="0.35">
      <c r="A23" s="97"/>
      <c r="B23" s="19" t="s">
        <v>203</v>
      </c>
      <c r="C23" s="21"/>
      <c r="D23" s="103">
        <f>D12+D15-D22</f>
        <v>0</v>
      </c>
    </row>
    <row r="24" spans="1:4" x14ac:dyDescent="0.35">
      <c r="A24" s="88"/>
      <c r="D24" s="89"/>
    </row>
    <row r="25" spans="1:4" x14ac:dyDescent="0.35">
      <c r="A25" s="97"/>
      <c r="B25" s="1" t="s">
        <v>199</v>
      </c>
      <c r="C25" s="1" t="s">
        <v>201</v>
      </c>
      <c r="D25" s="98">
        <f>IF('Input-Loan Ageing'!F21&lt;0,'Input-Loan Ageing'!F21,0)</f>
        <v>0</v>
      </c>
    </row>
    <row r="26" spans="1:4" x14ac:dyDescent="0.35">
      <c r="A26" s="97"/>
      <c r="B26" s="1" t="s">
        <v>200</v>
      </c>
      <c r="C26" s="1" t="s">
        <v>202</v>
      </c>
      <c r="D26" s="98">
        <f>IF('Input-TB'!I29&gt;'Input-TB'!D30,('Input-TB'!D30-'Input-TB'!I29),('Input-TB'!D30-'Input-TB'!I29))</f>
        <v>0</v>
      </c>
    </row>
    <row r="27" spans="1:4" ht="15" thickBot="1" x14ac:dyDescent="0.4">
      <c r="A27" s="104"/>
      <c r="B27" s="111" t="s">
        <v>204</v>
      </c>
      <c r="C27" s="111"/>
      <c r="D27" s="112">
        <f>D25+D26</f>
        <v>0</v>
      </c>
    </row>
  </sheetData>
  <pageMargins left="0.7" right="0.7" top="0.75" bottom="0.75" header="0.3" footer="0.3"/>
  <pageSetup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33F2-A50A-4B33-AE7A-C127A8BFD17E}">
  <dimension ref="A1:I68"/>
  <sheetViews>
    <sheetView view="pageBreakPreview" zoomScale="98" zoomScaleNormal="100" zoomScaleSheetLayoutView="98" workbookViewId="0">
      <selection sqref="A1:XFD1048576"/>
    </sheetView>
  </sheetViews>
  <sheetFormatPr defaultRowHeight="14.5" x14ac:dyDescent="0.35"/>
  <cols>
    <col min="1" max="1" width="4.90625" customWidth="1"/>
    <col min="2" max="2" width="23.54296875" style="9" customWidth="1"/>
    <col min="3" max="3" width="38.7265625" style="9" customWidth="1"/>
    <col min="4" max="4" width="12.54296875" customWidth="1"/>
    <col min="5" max="5" width="7" customWidth="1"/>
    <col min="6" max="6" width="11.7265625" customWidth="1"/>
    <col min="7" max="7" width="28.90625" customWidth="1"/>
    <col min="13" max="13" width="12.6328125" bestFit="1" customWidth="1"/>
  </cols>
  <sheetData>
    <row r="1" spans="1:6" x14ac:dyDescent="0.35">
      <c r="B1" s="9" t="str">
        <f>'Input-SCAN'!A4</f>
        <v>संस्थाको नाम</v>
      </c>
      <c r="C1" s="9" t="str">
        <f>'Input-TB'!C1</f>
        <v>ABC SACCOS</v>
      </c>
    </row>
    <row r="2" spans="1:6" x14ac:dyDescent="0.35">
      <c r="B2" s="9" t="str">
        <f>'Output-Risk Profile'!B4</f>
        <v xml:space="preserve">जिल्ला </v>
      </c>
      <c r="C2" s="9" t="str">
        <f>'Input-TB'!C2</f>
        <v>ABC SACCOS</v>
      </c>
    </row>
    <row r="3" spans="1:6" x14ac:dyDescent="0.35">
      <c r="B3" s="9" t="str">
        <f>'Output-Risk Profile'!E4</f>
        <v xml:space="preserve">मिति </v>
      </c>
      <c r="C3" s="84" t="str">
        <f>'Input-TB'!C9</f>
        <v>2082-03-32</v>
      </c>
    </row>
    <row r="4" spans="1:6" x14ac:dyDescent="0.35">
      <c r="A4" s="1"/>
      <c r="B4" s="24" t="s">
        <v>240</v>
      </c>
      <c r="C4" s="24"/>
      <c r="D4" s="1"/>
      <c r="E4" s="1"/>
      <c r="F4" s="1"/>
    </row>
    <row r="5" spans="1:6" x14ac:dyDescent="0.35">
      <c r="A5" s="18" t="s">
        <v>59</v>
      </c>
      <c r="B5" s="18" t="s">
        <v>72</v>
      </c>
      <c r="C5" s="18" t="s">
        <v>73</v>
      </c>
      <c r="D5" s="18" t="s">
        <v>184</v>
      </c>
      <c r="E5" s="1" t="s">
        <v>241</v>
      </c>
      <c r="F5" s="18" t="s">
        <v>243</v>
      </c>
    </row>
    <row r="6" spans="1:6" x14ac:dyDescent="0.35">
      <c r="A6" s="1">
        <f>'Output-Balance Sheet'!A29</f>
        <v>80</v>
      </c>
      <c r="B6" s="24" t="str">
        <f>'Output-Balance Sheet'!B29</f>
        <v>Cash in Hand</v>
      </c>
      <c r="C6" s="24" t="str">
        <f>'Output-Balance Sheet'!C29</f>
        <v>नगद मौज्दात</v>
      </c>
      <c r="D6" s="1">
        <f>'Output-Balance Sheet'!D29</f>
        <v>0</v>
      </c>
      <c r="E6" s="29">
        <v>0</v>
      </c>
      <c r="F6" s="1">
        <f>D6*E6</f>
        <v>0</v>
      </c>
    </row>
    <row r="7" spans="1:6" x14ac:dyDescent="0.35">
      <c r="A7" s="1">
        <f>'Output-Balance Sheet'!A30</f>
        <v>90</v>
      </c>
      <c r="B7" s="24" t="str">
        <f>'Output-Balance Sheet'!B30</f>
        <v>Cash at Bank</v>
      </c>
      <c r="C7" s="24" t="str">
        <f>'Output-Balance Sheet'!C30</f>
        <v>बैंक हिसाब</v>
      </c>
      <c r="D7" s="1">
        <f>'Output-Balance Sheet'!D30</f>
        <v>0</v>
      </c>
      <c r="E7" s="1"/>
      <c r="F7" s="1"/>
    </row>
    <row r="8" spans="1:6" ht="43.5" x14ac:dyDescent="0.35">
      <c r="A8" s="1">
        <f>'Output-Balance Sheet'!A31</f>
        <v>90.1</v>
      </c>
      <c r="B8" s="24" t="str">
        <f>'Output-Balance Sheet'!B31</f>
        <v>Balance in Central Bank Licensing Banks &amp; Financial Institutions</v>
      </c>
      <c r="C8" s="24" t="str">
        <f>'Output-Balance Sheet'!C31</f>
        <v>नेपाल राष्ट्र बैंकबाट इजाजतपत्र प्राप्त बैंक तथा वित्तीय संस्थामा रहेको मौज्दात</v>
      </c>
      <c r="D8" s="1">
        <f>'Output-Balance Sheet'!D31</f>
        <v>0</v>
      </c>
      <c r="E8" s="29">
        <v>0.2</v>
      </c>
      <c r="F8" s="1">
        <f t="shared" ref="F8:F11" si="0">D8*E8</f>
        <v>0</v>
      </c>
    </row>
    <row r="9" spans="1:6" ht="29" x14ac:dyDescent="0.35">
      <c r="A9" s="1">
        <f>'Output-Balance Sheet'!A32</f>
        <v>90.2</v>
      </c>
      <c r="B9" s="24" t="str">
        <f>'Output-Balance Sheet'!B32</f>
        <v>Balance in Central Bank Licensing Coop Banks</v>
      </c>
      <c r="C9" s="24" t="str">
        <f>'Output-Balance Sheet'!C32</f>
        <v>नेपाल राष्ट्र बैंकबाट इजाजतपत्र प्राप्त सहकारी बैंकहरुमा रहेको मौज्दात</v>
      </c>
      <c r="D9" s="1">
        <f>'Output-Balance Sheet'!D32</f>
        <v>0</v>
      </c>
      <c r="E9" s="29">
        <v>0.2</v>
      </c>
      <c r="F9" s="1">
        <f t="shared" si="0"/>
        <v>0</v>
      </c>
    </row>
    <row r="10" spans="1:6" ht="29" x14ac:dyDescent="0.35">
      <c r="A10" s="1">
        <f>'Output-Balance Sheet'!A33</f>
        <v>90.3</v>
      </c>
      <c r="B10" s="24" t="str">
        <f>'Output-Balance Sheet'!B33</f>
        <v>Balance in Federations/Networks</v>
      </c>
      <c r="C10" s="24" t="str">
        <f>'Output-Balance Sheet'!C33</f>
        <v>संघहरुमा रहेको मौज्दात</v>
      </c>
      <c r="D10" s="1">
        <f>'Output-Balance Sheet'!D33</f>
        <v>0</v>
      </c>
      <c r="E10" s="29">
        <v>1</v>
      </c>
      <c r="F10" s="1">
        <f t="shared" si="0"/>
        <v>0</v>
      </c>
    </row>
    <row r="11" spans="1:6" ht="29" x14ac:dyDescent="0.35">
      <c r="A11" s="1">
        <f>'Output-Balance Sheet'!A34</f>
        <v>90.4</v>
      </c>
      <c r="B11" s="24" t="str">
        <f>'Output-Balance Sheet'!B34</f>
        <v>Off-Banks Liquid Assets (E-Sewa, Khalti)</v>
      </c>
      <c r="C11" s="24" t="str">
        <f>'Output-Balance Sheet'!C34</f>
        <v>अन्यमा रहेको मौज्दात</v>
      </c>
      <c r="D11" s="1">
        <f>'Output-Balance Sheet'!D34</f>
        <v>0</v>
      </c>
      <c r="E11" s="29">
        <v>1</v>
      </c>
      <c r="F11" s="1">
        <f t="shared" si="0"/>
        <v>0</v>
      </c>
    </row>
    <row r="12" spans="1:6" x14ac:dyDescent="0.35">
      <c r="A12" s="1">
        <f>'Output-Balance Sheet'!A35</f>
        <v>100</v>
      </c>
      <c r="B12" s="24" t="str">
        <f>'Output-Balance Sheet'!B35</f>
        <v>Investment</v>
      </c>
      <c r="C12" s="24" t="str">
        <f>'Output-Balance Sheet'!C35</f>
        <v>लगानी हिसाब</v>
      </c>
      <c r="D12" s="1">
        <f>SUM(D13:D19)</f>
        <v>0</v>
      </c>
      <c r="E12" s="1"/>
      <c r="F12" s="1"/>
    </row>
    <row r="13" spans="1:6" ht="43.5" x14ac:dyDescent="0.35">
      <c r="A13" s="1">
        <f>'Output-Balance Sheet'!A36</f>
        <v>100.1</v>
      </c>
      <c r="B13" s="24" t="str">
        <f>'Output-Balance Sheet'!B36</f>
        <v>Fixed Deposit in Central Bank Licensing Financial Institutions</v>
      </c>
      <c r="C13" s="24" t="str">
        <f>'Output-Balance Sheet'!C36</f>
        <v>नेपाल राष्ट्र बैंकबाट इजाजतपत्र प्राप्त बैंक तथा वित्तीय संस्थामा रहेको मुद्दती बचत</v>
      </c>
      <c r="D13" s="1">
        <f>'Output-Balance Sheet'!D36</f>
        <v>0</v>
      </c>
      <c r="E13" s="29">
        <v>1</v>
      </c>
      <c r="F13" s="1">
        <f t="shared" ref="F13:F19" si="1">D13*E13</f>
        <v>0</v>
      </c>
    </row>
    <row r="14" spans="1:6" ht="29" x14ac:dyDescent="0.35">
      <c r="A14" s="1">
        <f>'Output-Balance Sheet'!A37</f>
        <v>100.2</v>
      </c>
      <c r="B14" s="24" t="str">
        <f>'Output-Balance Sheet'!B37</f>
        <v>Fixed Deposit in Central Bank Licensing Coop Banks</v>
      </c>
      <c r="C14" s="24" t="str">
        <f>'Output-Balance Sheet'!C37</f>
        <v>नेपाल राष्ट्र बैंकबाट इजाजतपत्र प्राप्त सहकारी बैंकहरुमा रहेको मुद्दती बचत</v>
      </c>
      <c r="D14" s="1">
        <f>'Output-Balance Sheet'!D37</f>
        <v>0</v>
      </c>
      <c r="E14" s="29">
        <v>1</v>
      </c>
      <c r="F14" s="1">
        <f t="shared" si="1"/>
        <v>0</v>
      </c>
    </row>
    <row r="15" spans="1:6" ht="29" x14ac:dyDescent="0.35">
      <c r="A15" s="1">
        <f>'Output-Balance Sheet'!A38</f>
        <v>100.3</v>
      </c>
      <c r="B15" s="24" t="str">
        <f>'Output-Balance Sheet'!B38</f>
        <v>Investment in Government Securities</v>
      </c>
      <c r="C15" s="24" t="str">
        <f>'Output-Balance Sheet'!C38</f>
        <v>सरकारी ऋणपत्रमा गरेको लगानी</v>
      </c>
      <c r="D15" s="1">
        <f>'Output-Balance Sheet'!D38</f>
        <v>0</v>
      </c>
      <c r="E15" s="29">
        <v>1</v>
      </c>
      <c r="F15" s="1">
        <f t="shared" si="1"/>
        <v>0</v>
      </c>
    </row>
    <row r="16" spans="1:6" ht="29" x14ac:dyDescent="0.35">
      <c r="A16" s="1">
        <f>'Output-Balance Sheet'!A39</f>
        <v>100.4</v>
      </c>
      <c r="B16" s="24" t="str">
        <f>'Output-Balance Sheet'!B39</f>
        <v>Fixed Deposit in Federations/Networks</v>
      </c>
      <c r="C16" s="24" t="str">
        <f>'Output-Balance Sheet'!C39</f>
        <v>संघहरुमा रहेको मुद्दती बचत</v>
      </c>
      <c r="D16" s="1">
        <f>'Output-Balance Sheet'!D39</f>
        <v>0</v>
      </c>
      <c r="E16" s="29">
        <v>1</v>
      </c>
      <c r="F16" s="1">
        <f t="shared" si="1"/>
        <v>0</v>
      </c>
    </row>
    <row r="17" spans="1:6" ht="43.5" x14ac:dyDescent="0.35">
      <c r="A17" s="1">
        <f>'Output-Balance Sheet'!A40</f>
        <v>100.5</v>
      </c>
      <c r="B17" s="24" t="str">
        <f>'Output-Balance Sheet'!B40</f>
        <v>Shares and Regular Savings in Federations/Networks</v>
      </c>
      <c r="C17" s="24" t="str">
        <f>'Output-Balance Sheet'!C40</f>
        <v>शेयर लगानी एवं संघहरुमा गरिएको नियमित बचत</v>
      </c>
      <c r="D17" s="1">
        <f>'Output-Balance Sheet'!D40</f>
        <v>0</v>
      </c>
      <c r="E17" s="29">
        <v>1</v>
      </c>
      <c r="F17" s="1">
        <f t="shared" si="1"/>
        <v>0</v>
      </c>
    </row>
    <row r="18" spans="1:6" ht="29" x14ac:dyDescent="0.35">
      <c r="A18" s="1">
        <f>'Output-Balance Sheet'!A41</f>
        <v>100.6</v>
      </c>
      <c r="B18" s="24" t="str">
        <f>'Output-Balance Sheet'!B41</f>
        <v xml:space="preserve">Investment in Specialized Coop Federation </v>
      </c>
      <c r="C18" s="24" t="str">
        <f>'Output-Balance Sheet'!C41</f>
        <v xml:space="preserve">विशिष्टीकृत संघहरुमा लगानी </v>
      </c>
      <c r="D18" s="1">
        <f>'Output-Balance Sheet'!D41</f>
        <v>0</v>
      </c>
      <c r="E18" s="29">
        <v>1</v>
      </c>
      <c r="F18" s="1">
        <f t="shared" si="1"/>
        <v>0</v>
      </c>
    </row>
    <row r="19" spans="1:6" ht="29" x14ac:dyDescent="0.35">
      <c r="A19" s="1">
        <f>'Output-Balance Sheet'!A42</f>
        <v>100.7</v>
      </c>
      <c r="B19" s="24" t="str">
        <f>'Output-Balance Sheet'!B42</f>
        <v>Investment in Non-Financial Investment</v>
      </c>
      <c r="C19" s="24" t="str">
        <f>'Output-Balance Sheet'!C42</f>
        <v>गैर वित्तीय क्षेत्रमा शेयर लगानी (सुपरमार्केट, हस्पिटल, स्कुल आदिमा गरिएको लगानी)</v>
      </c>
      <c r="D19" s="1">
        <f>'Output-Balance Sheet'!D42</f>
        <v>0</v>
      </c>
      <c r="E19" s="29">
        <v>1</v>
      </c>
      <c r="F19" s="1">
        <f t="shared" si="1"/>
        <v>0</v>
      </c>
    </row>
    <row r="20" spans="1:6" x14ac:dyDescent="0.35">
      <c r="A20" s="1">
        <f>'Output-Balance Sheet'!A43</f>
        <v>110</v>
      </c>
      <c r="B20" s="24" t="str">
        <f>'Output-Balance Sheet'!B43</f>
        <v>Loan Investment</v>
      </c>
      <c r="C20" s="24" t="str">
        <f>'Output-Balance Sheet'!C43</f>
        <v>ऋण लगानी</v>
      </c>
      <c r="D20" s="1">
        <f>'Output-Balance Sheet'!D43</f>
        <v>0</v>
      </c>
      <c r="E20" s="1"/>
      <c r="F20" s="1"/>
    </row>
    <row r="21" spans="1:6" ht="29" x14ac:dyDescent="0.35">
      <c r="A21" s="1">
        <f>'Output-Balance Sheet'!A44</f>
        <v>110.1</v>
      </c>
      <c r="B21" s="24" t="str">
        <f>'Output-Balance Sheet'!B44</f>
        <v>Loan Against Savings (Not Exceeding 90% of Savings)</v>
      </c>
      <c r="C21" s="24" t="str">
        <f>'Output-Balance Sheet'!C44</f>
        <v>बचत सुरक्षणमा प्रवाह गरिएको लगानीमा रहेको ऋण रकम</v>
      </c>
      <c r="D21" s="1">
        <f>'Output-Balance Sheet'!D44</f>
        <v>0</v>
      </c>
      <c r="E21" s="29">
        <v>0</v>
      </c>
      <c r="F21" s="1">
        <f>D21*E21</f>
        <v>0</v>
      </c>
    </row>
    <row r="22" spans="1:6" ht="29" x14ac:dyDescent="0.35">
      <c r="A22" s="1">
        <f>'Output-Balance Sheet'!A45</f>
        <v>110.2</v>
      </c>
      <c r="B22" s="24" t="str">
        <f>'Output-Balance Sheet'!B45</f>
        <v>Collateral Loan (Self-Family owned Collateral)</v>
      </c>
      <c r="C22" s="24" t="str">
        <f>'Output-Balance Sheet'!C45</f>
        <v>धितो सुरक्षण (स्वयं र पारिवारिक धितो) मा प्रवाह गरिएको लगानीमा रहेको ऋण रकम</v>
      </c>
      <c r="D22" s="1">
        <f>'Output-Balance Sheet'!D45</f>
        <v>0</v>
      </c>
      <c r="E22" s="29"/>
      <c r="F22" s="1"/>
    </row>
    <row r="23" spans="1:6" ht="29" x14ac:dyDescent="0.35">
      <c r="A23" s="1">
        <f>'Output-Balance Sheet'!A46</f>
        <v>110.3</v>
      </c>
      <c r="B23" s="24" t="str">
        <f>'Output-Balance Sheet'!B46</f>
        <v>Non-Collateral Loan</v>
      </c>
      <c r="C23" s="24" t="str">
        <f>'Output-Balance Sheet'!C46</f>
        <v>बिना धितोमा प्रवाह गरिएको लगानीमा रहेको ऋण रकम</v>
      </c>
      <c r="D23" s="1">
        <f>'Output-Balance Sheet'!D46</f>
        <v>0</v>
      </c>
      <c r="E23" s="29"/>
      <c r="F23" s="1"/>
    </row>
    <row r="24" spans="1:6" ht="29" x14ac:dyDescent="0.35">
      <c r="A24" s="1">
        <f>'Output-Balance Sheet'!A47</f>
        <v>110.4</v>
      </c>
      <c r="B24" s="24" t="str">
        <f>'Output-Balance Sheet'!B47</f>
        <v>Third Party Collateral Loan</v>
      </c>
      <c r="C24" s="24" t="str">
        <f>'Output-Balance Sheet'!C47</f>
        <v>तेस्रो पक्ष धितोमा प्रवाह गरिएको लगानीमा रहेको ऋण रकम</v>
      </c>
      <c r="D24" s="1">
        <f>'Output-Balance Sheet'!D47</f>
        <v>0</v>
      </c>
      <c r="E24" s="29"/>
      <c r="F24" s="1"/>
    </row>
    <row r="25" spans="1:6" x14ac:dyDescent="0.35">
      <c r="A25" s="1" t="str">
        <f>'Output-Balance Sheet'!A48</f>
        <v>Less:</v>
      </c>
      <c r="B25" s="24" t="s">
        <v>242</v>
      </c>
      <c r="C25" s="24" t="str">
        <f>'Output-Balance Sheet'!C48</f>
        <v xml:space="preserve">ऋण सुरक्षण कोष रकम </v>
      </c>
      <c r="D25" s="1">
        <f>'Input-Loan Ageing'!E17</f>
        <v>0</v>
      </c>
      <c r="E25" s="1"/>
      <c r="F25" s="1"/>
    </row>
    <row r="26" spans="1:6" x14ac:dyDescent="0.35">
      <c r="A26" s="1">
        <f>'Output-Balance Sheet'!A49</f>
        <v>0</v>
      </c>
      <c r="B26" s="24" t="str">
        <f>'Output-Balance Sheet'!B49</f>
        <v>Net Outstanding Loan</v>
      </c>
      <c r="C26" s="24">
        <f>'Output-Balance Sheet'!C49</f>
        <v>0</v>
      </c>
      <c r="D26" s="1">
        <f>SUM(D22:D24)-D25</f>
        <v>0</v>
      </c>
      <c r="E26" s="29">
        <v>1</v>
      </c>
      <c r="F26" s="1">
        <f>D26*E26</f>
        <v>0</v>
      </c>
    </row>
    <row r="27" spans="1:6" x14ac:dyDescent="0.35">
      <c r="A27" s="1">
        <f>'Output-Balance Sheet'!A50</f>
        <v>120</v>
      </c>
      <c r="B27" s="24" t="str">
        <f>'Output-Balance Sheet'!B50</f>
        <v>Receivable</v>
      </c>
      <c r="C27" s="24" t="str">
        <f>'Output-Balance Sheet'!C50</f>
        <v>पाउनु पर्ने हिसाब</v>
      </c>
      <c r="D27" s="1">
        <f>'Output-Balance Sheet'!D50</f>
        <v>0</v>
      </c>
      <c r="E27" s="29">
        <v>1</v>
      </c>
      <c r="F27" s="1">
        <f t="shared" ref="F27:F33" si="2">D27*E27</f>
        <v>0</v>
      </c>
    </row>
    <row r="28" spans="1:6" x14ac:dyDescent="0.35">
      <c r="A28" s="1">
        <f>'Output-Balance Sheet'!A51</f>
        <v>130</v>
      </c>
      <c r="B28" s="24" t="str">
        <f>'Output-Balance Sheet'!B51</f>
        <v>Fixed Assets</v>
      </c>
      <c r="C28" s="24" t="str">
        <f>'Output-Balance Sheet'!C51</f>
        <v>स्थिर सम्पत्ति</v>
      </c>
      <c r="D28" s="1">
        <f>'Output-Balance Sheet'!D51</f>
        <v>0</v>
      </c>
      <c r="E28" s="29">
        <v>1</v>
      </c>
      <c r="F28" s="1">
        <f t="shared" si="2"/>
        <v>0</v>
      </c>
    </row>
    <row r="29" spans="1:6" x14ac:dyDescent="0.35">
      <c r="A29" s="1">
        <f>'Output-Balance Sheet'!A52</f>
        <v>130.1</v>
      </c>
      <c r="B29" s="24" t="str">
        <f>'Output-Balance Sheet'!B52</f>
        <v>Land &amp; Building</v>
      </c>
      <c r="C29" s="24" t="str">
        <f>'Output-Balance Sheet'!C52</f>
        <v>घर जग्गा</v>
      </c>
      <c r="D29" s="1">
        <f>'Output-Balance Sheet'!D52</f>
        <v>0</v>
      </c>
      <c r="E29" s="29">
        <v>1</v>
      </c>
      <c r="F29" s="1">
        <f t="shared" si="2"/>
        <v>0</v>
      </c>
    </row>
    <row r="30" spans="1:6" ht="29" x14ac:dyDescent="0.35">
      <c r="A30" s="1">
        <f>'Output-Balance Sheet'!A53</f>
        <v>130.19999999999999</v>
      </c>
      <c r="B30" s="24" t="str">
        <f>'Output-Balance Sheet'!B53</f>
        <v>Other Fixed Assets beyond Land &amp; Building</v>
      </c>
      <c r="C30" s="24" t="str">
        <f>'Output-Balance Sheet'!C53</f>
        <v>घरजग्गा बाहेकको अन्य स्थिर सम्पत्ति</v>
      </c>
      <c r="D30" s="1">
        <f>'Output-Balance Sheet'!D53</f>
        <v>0</v>
      </c>
      <c r="E30" s="29">
        <v>1</v>
      </c>
      <c r="F30" s="1">
        <f t="shared" si="2"/>
        <v>0</v>
      </c>
    </row>
    <row r="31" spans="1:6" x14ac:dyDescent="0.35">
      <c r="A31" s="21">
        <f>'Output-Balance Sheet'!A54</f>
        <v>140</v>
      </c>
      <c r="B31" s="26" t="str">
        <f>'Output-Balance Sheet'!B54</f>
        <v>Other Assets</v>
      </c>
      <c r="C31" s="26" t="str">
        <f>'Output-Balance Sheet'!C54</f>
        <v>अन्य सम्पत्तिहरु</v>
      </c>
      <c r="D31" s="21">
        <f>'Output-Balance Sheet'!D54</f>
        <v>0</v>
      </c>
      <c r="E31" s="29"/>
      <c r="F31" s="21">
        <f>'Output-Balance Sheet'!F54</f>
        <v>0</v>
      </c>
    </row>
    <row r="32" spans="1:6" x14ac:dyDescent="0.35">
      <c r="A32" s="1">
        <f>'Output-Balance Sheet'!A55</f>
        <v>140.1</v>
      </c>
      <c r="B32" s="24" t="str">
        <f>'Output-Balance Sheet'!B55</f>
        <v>Non-Banking Assets</v>
      </c>
      <c r="C32" s="24" t="str">
        <f>'Output-Balance Sheet'!C55</f>
        <v>गैह्र बैंकिङ सम्पत्ति</v>
      </c>
      <c r="D32" s="1">
        <f>'Output-Balance Sheet'!D55</f>
        <v>0</v>
      </c>
      <c r="E32" s="29">
        <v>1</v>
      </c>
      <c r="F32" s="1">
        <f t="shared" si="2"/>
        <v>0</v>
      </c>
    </row>
    <row r="33" spans="1:8" ht="29" x14ac:dyDescent="0.35">
      <c r="A33" s="1" t="str">
        <f>'Output-Balance Sheet'!A56</f>
        <v>Less:</v>
      </c>
      <c r="B33" s="24" t="str">
        <f>'Output-Balance Sheet'!B56</f>
        <v>Provision for other Non Banking Assets</v>
      </c>
      <c r="C33" s="24" t="str">
        <f>'Output-Balance Sheet'!C56</f>
        <v>गैह्रबैंकिङ सम्पतिको लागि छुट्याइएको सुरक्षण</v>
      </c>
      <c r="D33" s="1">
        <f>'Output-Balance Sheet'!D56</f>
        <v>0</v>
      </c>
      <c r="E33" s="29">
        <v>1</v>
      </c>
      <c r="F33" s="1">
        <f t="shared" si="2"/>
        <v>0</v>
      </c>
    </row>
    <row r="34" spans="1:8" x14ac:dyDescent="0.35">
      <c r="A34" s="1">
        <f>'Output-Balance Sheet'!A57</f>
        <v>0</v>
      </c>
      <c r="B34" s="24" t="str">
        <f>'Output-Balance Sheet'!B57</f>
        <v>Net Non Banking Assets</v>
      </c>
      <c r="C34" s="24" t="str">
        <f>'Output-Balance Sheet'!C57</f>
        <v xml:space="preserve"> खुद गैह्रबैकिङ सम्पत्ति </v>
      </c>
      <c r="D34" s="1">
        <f>'Output-Balance Sheet'!D57</f>
        <v>0</v>
      </c>
      <c r="E34" s="29">
        <v>1</v>
      </c>
      <c r="F34" s="1">
        <f t="shared" ref="F34:F36" si="3">D34*E34</f>
        <v>0</v>
      </c>
    </row>
    <row r="35" spans="1:8" x14ac:dyDescent="0.35">
      <c r="A35" s="1">
        <f>'Output-Balance Sheet'!A58</f>
        <v>140.19999999999999</v>
      </c>
      <c r="B35" s="24" t="str">
        <f>'Output-Balance Sheet'!B58</f>
        <v>Other Assets</v>
      </c>
      <c r="C35" s="24" t="str">
        <f>'Output-Balance Sheet'!C58</f>
        <v>अन्य सम्पत्ति</v>
      </c>
      <c r="D35" s="1">
        <f>'Output-Balance Sheet'!D58</f>
        <v>0</v>
      </c>
      <c r="E35" s="29">
        <v>1</v>
      </c>
      <c r="F35" s="1">
        <f t="shared" si="3"/>
        <v>0</v>
      </c>
    </row>
    <row r="36" spans="1:8" ht="29" x14ac:dyDescent="0.35">
      <c r="A36" s="1" t="s">
        <v>229</v>
      </c>
      <c r="B36" s="24" t="s">
        <v>244</v>
      </c>
      <c r="C36" s="24"/>
      <c r="D36" s="1">
        <f>'Input-TB'!D31*-1</f>
        <v>0</v>
      </c>
      <c r="E36" s="29">
        <v>1</v>
      </c>
      <c r="F36" s="1">
        <f t="shared" si="3"/>
        <v>0</v>
      </c>
    </row>
    <row r="37" spans="1:8" x14ac:dyDescent="0.35">
      <c r="A37" s="1"/>
      <c r="B37" s="24"/>
      <c r="C37" s="24" t="s">
        <v>237</v>
      </c>
      <c r="D37" s="1">
        <f>D6+D7+D12+D21+D26+D27+D28+D31+D36</f>
        <v>0</v>
      </c>
      <c r="E37" s="1"/>
      <c r="F37" s="1">
        <f>F6+F7+F12+F21+F26+F27+F28+F31+F36</f>
        <v>0</v>
      </c>
    </row>
    <row r="38" spans="1:8" x14ac:dyDescent="0.35">
      <c r="B38" s="9" t="str">
        <f>B1</f>
        <v>संस्थाको नाम</v>
      </c>
      <c r="C38" s="9" t="str">
        <f>C1</f>
        <v>ABC SACCOS</v>
      </c>
    </row>
    <row r="39" spans="1:8" x14ac:dyDescent="0.35">
      <c r="B39" s="9" t="str">
        <f>B2</f>
        <v xml:space="preserve">जिल्ला </v>
      </c>
      <c r="C39" s="9" t="str">
        <f>C2</f>
        <v>ABC SACCOS</v>
      </c>
    </row>
    <row r="40" spans="1:8" x14ac:dyDescent="0.35">
      <c r="C40" s="9" t="s">
        <v>348</v>
      </c>
    </row>
    <row r="41" spans="1:8" x14ac:dyDescent="0.35">
      <c r="B41" s="26" t="str">
        <f>'Output-Balance Sheet'!B4</f>
        <v>Account Name (English)</v>
      </c>
      <c r="C41" s="26" t="str">
        <f>'Output-Balance Sheet'!C4</f>
        <v>Account Name (Nepali)</v>
      </c>
      <c r="D41" s="21" t="str">
        <f>'Output-Balance Sheet'!D4</f>
        <v>Amount in Rs</v>
      </c>
    </row>
    <row r="42" spans="1:8" x14ac:dyDescent="0.35">
      <c r="B42" s="24" t="str">
        <f>'Output-Balance Sheet'!B5</f>
        <v>Share Capital</v>
      </c>
      <c r="C42" s="24" t="str">
        <f>'Output-Balance Sheet'!C5</f>
        <v>शेयर पूँजी</v>
      </c>
      <c r="D42" s="1">
        <f>'Output-Balance Sheet'!D5</f>
        <v>0</v>
      </c>
    </row>
    <row r="43" spans="1:8" x14ac:dyDescent="0.35">
      <c r="B43" s="24" t="str">
        <f>'Output-Balance Sheet'!B7</f>
        <v>General Reserve Fund</v>
      </c>
      <c r="C43" s="24" t="str">
        <f>'Output-Balance Sheet'!C7</f>
        <v>जगेडा कोष</v>
      </c>
      <c r="D43" s="1">
        <f>'Output-Balance Sheet'!D7</f>
        <v>0</v>
      </c>
    </row>
    <row r="44" spans="1:8" x14ac:dyDescent="0.35">
      <c r="B44" s="24" t="str">
        <f>'Output-Balance Sheet'!B8</f>
        <v>Loss Fulfilment Fund</v>
      </c>
      <c r="C44" s="24" t="str">
        <f>'Output-Balance Sheet'!C8</f>
        <v>घाटापूर्ती कोष</v>
      </c>
      <c r="D44" s="1">
        <f>'Output-Balance Sheet'!D8</f>
        <v>0</v>
      </c>
    </row>
    <row r="45" spans="1:8" ht="29" x14ac:dyDescent="0.35">
      <c r="B45" s="24" t="str">
        <f>'Output-Balance Sheet'!B13</f>
        <v>Profit/Loss from Income Statement</v>
      </c>
      <c r="C45" s="24" t="str">
        <f>'Output-Balance Sheet'!C13</f>
        <v xml:space="preserve">नाफा/नोक्सान </v>
      </c>
      <c r="D45" s="1">
        <f>'Output-Balance Sheet'!D13</f>
        <v>0</v>
      </c>
    </row>
    <row r="46" spans="1:8" x14ac:dyDescent="0.35">
      <c r="B46" s="24" t="s">
        <v>349</v>
      </c>
      <c r="C46" s="24" t="s">
        <v>366</v>
      </c>
      <c r="D46" s="1">
        <f>SUM(D42:D45)</f>
        <v>0</v>
      </c>
    </row>
    <row r="47" spans="1:8" ht="29" x14ac:dyDescent="0.35">
      <c r="B47" s="24" t="s">
        <v>376</v>
      </c>
      <c r="C47" s="24" t="s">
        <v>377</v>
      </c>
      <c r="D47" s="1">
        <f>IF(H56&gt;H60,(H60-H56),0)</f>
        <v>0</v>
      </c>
      <c r="G47" t="s">
        <v>354</v>
      </c>
    </row>
    <row r="48" spans="1:8" x14ac:dyDescent="0.35">
      <c r="B48" s="24" t="s">
        <v>380</v>
      </c>
      <c r="C48" s="24" t="s">
        <v>381</v>
      </c>
      <c r="D48" s="1">
        <f>D46+D47</f>
        <v>0</v>
      </c>
      <c r="G48" t="s">
        <v>355</v>
      </c>
      <c r="H48">
        <f>ROUND(F37*1.5%,2)</f>
        <v>0</v>
      </c>
    </row>
    <row r="49" spans="2:8" x14ac:dyDescent="0.35">
      <c r="B49" s="24" t="s">
        <v>360</v>
      </c>
      <c r="C49" s="24" t="s">
        <v>361</v>
      </c>
      <c r="D49" s="21" t="e">
        <f>ROUND(D46/F37*100,2)</f>
        <v>#DIV/0!</v>
      </c>
      <c r="G49" t="s">
        <v>356</v>
      </c>
      <c r="H49">
        <f>IF('Input-Loan Ageing'!F19&gt;'Input-Loan Ageing'!E18,('Input-Loan Ageing'!F19-'Input-Loan Ageing'!E18),0)</f>
        <v>0</v>
      </c>
    </row>
    <row r="50" spans="2:8" ht="29" x14ac:dyDescent="0.35">
      <c r="B50" s="24" t="s">
        <v>350</v>
      </c>
      <c r="C50" s="24" t="s">
        <v>351</v>
      </c>
      <c r="D50" s="1">
        <f>'Input-Loan Ageing'!E12</f>
        <v>0</v>
      </c>
    </row>
    <row r="51" spans="2:8" ht="29" x14ac:dyDescent="0.35">
      <c r="B51" s="24" t="s">
        <v>352</v>
      </c>
      <c r="C51" s="24" t="s">
        <v>353</v>
      </c>
      <c r="D51" s="1">
        <f>IF(H48&gt;H49,H49,H48)</f>
        <v>0</v>
      </c>
      <c r="G51" t="s">
        <v>357</v>
      </c>
    </row>
    <row r="52" spans="2:8" ht="29" x14ac:dyDescent="0.35">
      <c r="B52" s="24" t="str">
        <f>'Output-Balance Sheet'!B10</f>
        <v>Non Specific Reserve Fund (If Any)</v>
      </c>
      <c r="C52" s="24" t="str">
        <f>'Output-Balance Sheet'!C10</f>
        <v>प्रयोजन किटान नगरिएका कोषहरु (सहकारी विकास कोष+जोखिम व्यवस्थापन कोष)</v>
      </c>
      <c r="D52" s="1">
        <f>'Output-Balance Sheet'!D10</f>
        <v>0</v>
      </c>
      <c r="G52" t="s">
        <v>358</v>
      </c>
      <c r="H52">
        <f>'Output-Balance Sheet'!D9</f>
        <v>0</v>
      </c>
    </row>
    <row r="53" spans="2:8" ht="29" x14ac:dyDescent="0.35">
      <c r="B53" s="24" t="str">
        <f>'Output-Balance Sheet'!B9</f>
        <v>Assets Revaluation Reserve</v>
      </c>
      <c r="C53" s="24" t="str">
        <f>'Output-Balance Sheet'!C9</f>
        <v>सम्पति पुनर्मूल्याकंन कोष</v>
      </c>
      <c r="D53" s="1">
        <f>IF(H52&gt;H53,H53,H52)</f>
        <v>0</v>
      </c>
      <c r="G53" t="s">
        <v>359</v>
      </c>
      <c r="H53">
        <f>ROUND((D50+D51+D52)/98*2,2)</f>
        <v>0</v>
      </c>
    </row>
    <row r="54" spans="2:8" ht="29" x14ac:dyDescent="0.35">
      <c r="B54" s="24" t="s">
        <v>362</v>
      </c>
      <c r="C54" s="24" t="s">
        <v>363</v>
      </c>
      <c r="D54" s="1">
        <f>SUM(D50:D53)</f>
        <v>0</v>
      </c>
    </row>
    <row r="55" spans="2:8" x14ac:dyDescent="0.35">
      <c r="B55" s="24" t="s">
        <v>364</v>
      </c>
      <c r="C55" s="24" t="s">
        <v>365</v>
      </c>
      <c r="D55" s="21" t="e">
        <f>ROUND(D54/F37*100,2)</f>
        <v>#DIV/0!</v>
      </c>
      <c r="G55" t="s">
        <v>373</v>
      </c>
    </row>
    <row r="56" spans="2:8" x14ac:dyDescent="0.35">
      <c r="B56" s="26" t="s">
        <v>367</v>
      </c>
      <c r="C56" s="26" t="s">
        <v>368</v>
      </c>
      <c r="D56" s="21" t="e">
        <f>D49+D55</f>
        <v>#DIV/0!</v>
      </c>
      <c r="G56" t="s">
        <v>358</v>
      </c>
      <c r="H56">
        <f>'Output-Balance Sheet'!D52</f>
        <v>0</v>
      </c>
    </row>
    <row r="57" spans="2:8" ht="29" x14ac:dyDescent="0.35">
      <c r="B57" s="24" t="s">
        <v>369</v>
      </c>
      <c r="C57" s="24" t="s">
        <v>370</v>
      </c>
      <c r="D57" s="1">
        <f>D48+D54-D42</f>
        <v>0</v>
      </c>
      <c r="G57" t="s">
        <v>374</v>
      </c>
      <c r="H57">
        <f>D43*50%</f>
        <v>0</v>
      </c>
    </row>
    <row r="58" spans="2:8" ht="29" x14ac:dyDescent="0.35">
      <c r="B58" s="24" t="s">
        <v>371</v>
      </c>
      <c r="C58" s="24" t="s">
        <v>372</v>
      </c>
      <c r="D58" s="1" t="e">
        <f>ROUND(D57/F37*100,2)</f>
        <v>#DIV/0!</v>
      </c>
      <c r="G58" t="s">
        <v>375</v>
      </c>
      <c r="H58">
        <f>D46</f>
        <v>0</v>
      </c>
    </row>
    <row r="59" spans="2:8" x14ac:dyDescent="0.35">
      <c r="G59" t="s">
        <v>378</v>
      </c>
    </row>
    <row r="60" spans="2:8" x14ac:dyDescent="0.35">
      <c r="G60" t="s">
        <v>379</v>
      </c>
      <c r="H60">
        <f>IF(H58&gt;H57,H57,H58)</f>
        <v>0</v>
      </c>
    </row>
    <row r="65" spans="8:9" ht="43.5" x14ac:dyDescent="0.35">
      <c r="H65" s="9" t="s">
        <v>432</v>
      </c>
      <c r="I65" s="9">
        <f>D46</f>
        <v>0</v>
      </c>
    </row>
    <row r="66" spans="8:9" ht="43.5" x14ac:dyDescent="0.35">
      <c r="H66" s="9" t="s">
        <v>433</v>
      </c>
      <c r="I66" s="9">
        <f>ROUND('Output-Balance Sheet'!D60*5%,2)</f>
        <v>0</v>
      </c>
    </row>
    <row r="67" spans="8:9" ht="29" x14ac:dyDescent="0.35">
      <c r="H67" s="9" t="s">
        <v>434</v>
      </c>
      <c r="I67" s="9">
        <f>IF(I65&gt;I66,I66,I65)</f>
        <v>0</v>
      </c>
    </row>
    <row r="68" spans="8:9" ht="87" x14ac:dyDescent="0.35">
      <c r="H68" s="9" t="s">
        <v>435</v>
      </c>
      <c r="I68" s="9" t="e">
        <f>ROUND(I67/'Output-Balance Sheet'!D60*100,2)</f>
        <v>#DIV/0!</v>
      </c>
    </row>
  </sheetData>
  <sheetProtection algorithmName="SHA-512" hashValue="vnMhaL6SpVlosjyK6lXIyg9hKPdGJ9NGJXda7nOMt5jZ5P2hoF6BwLrhjK0tSRob9v0V6TFTKsPyLlNAAUrBcQ==" saltValue="g0u6xwNZyuYUtdZuB/XCGA==" spinCount="100000" sheet="1" objects="1" scenarios="1"/>
  <customSheetViews>
    <customSheetView guid="{B03DA2A8-6E10-4AC8-B8E9-08273B4719D3}" scale="98" showPageBreaks="1" printArea="1" view="pageBreakPreview">
      <selection activeCell="C10" sqref="C10"/>
      <rowBreaks count="1" manualBreakCount="1">
        <brk id="37" max="16383" man="1"/>
      </rowBreaks>
      <colBreaks count="1" manualBreakCount="1">
        <brk id="6" max="1048575" man="1"/>
      </colBreaks>
      <pageMargins left="0.7" right="0.7" top="0.75" bottom="0.75" header="0.3" footer="0.3"/>
      <pageSetup scale="91" orientation="portrait" horizontalDpi="0" verticalDpi="0" r:id="rId1"/>
    </customSheetView>
    <customSheetView guid="{AF169707-4E0F-443B-AC54-AEDA2A2EE592}" scale="98" showPageBreaks="1" printArea="1" view="pageBreakPreview">
      <selection activeCell="C10" sqref="C10"/>
      <rowBreaks count="1" manualBreakCount="1">
        <brk id="37" max="16383" man="1"/>
      </rowBreaks>
      <colBreaks count="1" manualBreakCount="1">
        <brk id="6" max="1048575" man="1"/>
      </colBreaks>
      <pageMargins left="0.7" right="0.7" top="0.75" bottom="0.75" header="0.3" footer="0.3"/>
      <pageSetup scale="91" orientation="portrait" horizontalDpi="0" verticalDpi="0" r:id="rId2"/>
    </customSheetView>
    <customSheetView guid="{9C839773-0576-4D5E-B841-6D274CD2DC85}" scale="98" showPageBreaks="1" printArea="1" view="pageBreakPreview">
      <selection activeCell="C10" sqref="C10"/>
      <rowBreaks count="1" manualBreakCount="1">
        <brk id="37" max="16383" man="1"/>
      </rowBreaks>
      <colBreaks count="1" manualBreakCount="1">
        <brk id="6" max="1048575" man="1"/>
      </colBreaks>
      <pageMargins left="0.7" right="0.7" top="0.75" bottom="0.75" header="0.3" footer="0.3"/>
      <pageSetup scale="91" orientation="portrait" horizontalDpi="0" verticalDpi="0" r:id="rId3"/>
    </customSheetView>
    <customSheetView guid="{25DE02B3-1CDA-48F7-89E3-3677026220D5}" scale="98" showPageBreaks="1" printArea="1" view="pageBreakPreview">
      <selection activeCell="C10" sqref="C10"/>
      <rowBreaks count="1" manualBreakCount="1">
        <brk id="37" max="16383" man="1"/>
      </rowBreaks>
      <colBreaks count="1" manualBreakCount="1">
        <brk id="6" max="1048575" man="1"/>
      </colBreaks>
      <pageMargins left="0.7" right="0.7" top="0.75" bottom="0.75" header="0.3" footer="0.3"/>
      <pageSetup scale="91" orientation="portrait" horizontalDpi="0" verticalDpi="0" r:id="rId4"/>
    </customSheetView>
  </customSheetViews>
  <pageMargins left="0.7" right="0.7" top="0.75" bottom="0.75" header="0.3" footer="0.3"/>
  <pageSetup scale="91" orientation="portrait" horizontalDpi="0" verticalDpi="0" r:id="rId5"/>
  <rowBreaks count="1" manualBreakCount="1">
    <brk id="37" max="16383" man="1"/>
  </rowBreaks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2AD8E-FC58-470D-B879-C70DD1F76A7C}">
  <dimension ref="A1:I68"/>
  <sheetViews>
    <sheetView workbookViewId="0">
      <selection activeCell="B1" sqref="B1:B3"/>
    </sheetView>
  </sheetViews>
  <sheetFormatPr defaultRowHeight="14.5" x14ac:dyDescent="0.35"/>
  <cols>
    <col min="1" max="1" width="4.90625" customWidth="1"/>
    <col min="2" max="2" width="23.54296875" style="9" customWidth="1"/>
    <col min="3" max="3" width="38.7265625" style="9" customWidth="1"/>
    <col min="4" max="4" width="12.54296875" customWidth="1"/>
    <col min="5" max="5" width="7" customWidth="1"/>
    <col min="6" max="6" width="11.7265625" customWidth="1"/>
    <col min="7" max="7" width="28.90625" customWidth="1"/>
    <col min="13" max="13" width="12.6328125" bestFit="1" customWidth="1"/>
  </cols>
  <sheetData>
    <row r="1" spans="1:6" x14ac:dyDescent="0.35">
      <c r="B1" s="9" t="str">
        <f>'Input-SCAN'!A4</f>
        <v>संस्थाको नाम</v>
      </c>
      <c r="C1" s="9" t="str">
        <f>'Input-TB'!C1</f>
        <v>ABC SACCOS</v>
      </c>
    </row>
    <row r="2" spans="1:6" x14ac:dyDescent="0.35">
      <c r="B2" s="9" t="str">
        <f>'Output-Risk Profile'!B4</f>
        <v xml:space="preserve">जिल्ला </v>
      </c>
      <c r="C2" s="9" t="str">
        <f>'Input-TB'!C2</f>
        <v>ABC SACCOS</v>
      </c>
    </row>
    <row r="3" spans="1:6" x14ac:dyDescent="0.35">
      <c r="B3" s="9" t="str">
        <f>'Output-Risk Profile'!E4</f>
        <v xml:space="preserve">मिति </v>
      </c>
      <c r="C3" s="84" t="str">
        <f>'Input-TB'!C9</f>
        <v>2082-03-32</v>
      </c>
    </row>
    <row r="4" spans="1:6" x14ac:dyDescent="0.35">
      <c r="A4" s="1"/>
      <c r="B4" s="24" t="s">
        <v>240</v>
      </c>
      <c r="C4" s="24"/>
      <c r="D4" s="1"/>
      <c r="E4" s="1"/>
      <c r="F4" s="1"/>
    </row>
    <row r="5" spans="1:6" ht="29" x14ac:dyDescent="0.35">
      <c r="A5" s="18" t="s">
        <v>59</v>
      </c>
      <c r="B5" s="18" t="s">
        <v>72</v>
      </c>
      <c r="C5" s="18" t="s">
        <v>73</v>
      </c>
      <c r="D5" s="18" t="s">
        <v>184</v>
      </c>
      <c r="E5" s="1" t="s">
        <v>241</v>
      </c>
      <c r="F5" s="18" t="s">
        <v>243</v>
      </c>
    </row>
    <row r="6" spans="1:6" x14ac:dyDescent="0.35">
      <c r="A6" s="1">
        <f>'Output-Balance Sheet'!A29</f>
        <v>80</v>
      </c>
      <c r="B6" s="24" t="str">
        <f>'Output-Balance Sheet'!B29</f>
        <v>Cash in Hand</v>
      </c>
      <c r="C6" s="24" t="str">
        <f>'Output-Balance Sheet'!C29</f>
        <v>नगद मौज्दात</v>
      </c>
      <c r="D6" s="1">
        <f>'Output-Balance Sheet'!D29</f>
        <v>0</v>
      </c>
      <c r="E6" s="29">
        <v>0</v>
      </c>
      <c r="F6" s="1">
        <f>D6*E6</f>
        <v>0</v>
      </c>
    </row>
    <row r="7" spans="1:6" x14ac:dyDescent="0.35">
      <c r="A7" s="1">
        <f>'Output-Balance Sheet'!A30</f>
        <v>90</v>
      </c>
      <c r="B7" s="24" t="str">
        <f>'Output-Balance Sheet'!B30</f>
        <v>Cash at Bank</v>
      </c>
      <c r="C7" s="24" t="str">
        <f>'Output-Balance Sheet'!C30</f>
        <v>बैंक हिसाब</v>
      </c>
      <c r="D7" s="1">
        <f>'Output-Balance Sheet'!D30</f>
        <v>0</v>
      </c>
      <c r="E7" s="1"/>
      <c r="F7" s="1"/>
    </row>
    <row r="8" spans="1:6" ht="43.5" x14ac:dyDescent="0.35">
      <c r="A8" s="1">
        <f>'Output-Balance Sheet'!A31</f>
        <v>90.1</v>
      </c>
      <c r="B8" s="24" t="str">
        <f>'Output-Balance Sheet'!B31</f>
        <v>Balance in Central Bank Licensing Banks &amp; Financial Institutions</v>
      </c>
      <c r="C8" s="24" t="str">
        <f>'Output-Balance Sheet'!C31</f>
        <v>नेपाल राष्ट्र बैंकबाट इजाजतपत्र प्राप्त बैंक तथा वित्तीय संस्थामा रहेको मौज्दात</v>
      </c>
      <c r="D8" s="1">
        <f>'Output-Balance Sheet'!D31</f>
        <v>0</v>
      </c>
      <c r="E8" s="29">
        <v>0.2</v>
      </c>
      <c r="F8" s="1">
        <f t="shared" ref="F8:F11" si="0">D8*E8</f>
        <v>0</v>
      </c>
    </row>
    <row r="9" spans="1:6" ht="29" x14ac:dyDescent="0.35">
      <c r="A9" s="1">
        <f>'Output-Balance Sheet'!A32</f>
        <v>90.2</v>
      </c>
      <c r="B9" s="24" t="str">
        <f>'Output-Balance Sheet'!B32</f>
        <v>Balance in Central Bank Licensing Coop Banks</v>
      </c>
      <c r="C9" s="24" t="str">
        <f>'Output-Balance Sheet'!C32</f>
        <v>नेपाल राष्ट्र बैंकबाट इजाजतपत्र प्राप्त सहकारी बैंकहरुमा रहेको मौज्दात</v>
      </c>
      <c r="D9" s="1">
        <f>'Output-Balance Sheet'!D32</f>
        <v>0</v>
      </c>
      <c r="E9" s="29">
        <v>0.2</v>
      </c>
      <c r="F9" s="1">
        <f t="shared" si="0"/>
        <v>0</v>
      </c>
    </row>
    <row r="10" spans="1:6" ht="29" x14ac:dyDescent="0.35">
      <c r="A10" s="1">
        <f>'Output-Balance Sheet'!A33</f>
        <v>90.3</v>
      </c>
      <c r="B10" s="24" t="str">
        <f>'Output-Balance Sheet'!B33</f>
        <v>Balance in Federations/Networks</v>
      </c>
      <c r="C10" s="24" t="str">
        <f>'Output-Balance Sheet'!C33</f>
        <v>संघहरुमा रहेको मौज्दात</v>
      </c>
      <c r="D10" s="1">
        <f>'Output-Balance Sheet'!D33</f>
        <v>0</v>
      </c>
      <c r="E10" s="29">
        <v>1</v>
      </c>
      <c r="F10" s="1">
        <f t="shared" si="0"/>
        <v>0</v>
      </c>
    </row>
    <row r="11" spans="1:6" ht="29" x14ac:dyDescent="0.35">
      <c r="A11" s="1">
        <f>'Output-Balance Sheet'!A34</f>
        <v>90.4</v>
      </c>
      <c r="B11" s="24" t="str">
        <f>'Output-Balance Sheet'!B34</f>
        <v>Off-Banks Liquid Assets (E-Sewa, Khalti)</v>
      </c>
      <c r="C11" s="24" t="str">
        <f>'Output-Balance Sheet'!C34</f>
        <v>अन्यमा रहेको मौज्दात</v>
      </c>
      <c r="D11" s="1">
        <f>'Output-Balance Sheet'!D34</f>
        <v>0</v>
      </c>
      <c r="E11" s="29">
        <v>1</v>
      </c>
      <c r="F11" s="1">
        <f t="shared" si="0"/>
        <v>0</v>
      </c>
    </row>
    <row r="12" spans="1:6" x14ac:dyDescent="0.35">
      <c r="A12" s="1">
        <f>'Output-Balance Sheet'!A35</f>
        <v>100</v>
      </c>
      <c r="B12" s="24" t="str">
        <f>'Output-Balance Sheet'!B35</f>
        <v>Investment</v>
      </c>
      <c r="C12" s="24" t="str">
        <f>'Output-Balance Sheet'!C35</f>
        <v>लगानी हिसाब</v>
      </c>
      <c r="D12" s="1">
        <f>SUM(D13:D19)</f>
        <v>0</v>
      </c>
      <c r="E12" s="1"/>
      <c r="F12" s="1"/>
    </row>
    <row r="13" spans="1:6" ht="43.5" x14ac:dyDescent="0.35">
      <c r="A13" s="1">
        <f>'Output-Balance Sheet'!A36</f>
        <v>100.1</v>
      </c>
      <c r="B13" s="24" t="str">
        <f>'Output-Balance Sheet'!B36</f>
        <v>Fixed Deposit in Central Bank Licensing Financial Institutions</v>
      </c>
      <c r="C13" s="24" t="str">
        <f>'Output-Balance Sheet'!C36</f>
        <v>नेपाल राष्ट्र बैंकबाट इजाजतपत्र प्राप्त बैंक तथा वित्तीय संस्थामा रहेको मुद्दती बचत</v>
      </c>
      <c r="D13" s="1">
        <f>'Output-Balance Sheet'!D36</f>
        <v>0</v>
      </c>
      <c r="E13" s="29">
        <v>1</v>
      </c>
      <c r="F13" s="1">
        <f t="shared" ref="F13:F19" si="1">D13*E13</f>
        <v>0</v>
      </c>
    </row>
    <row r="14" spans="1:6" ht="29" x14ac:dyDescent="0.35">
      <c r="A14" s="1">
        <f>'Output-Balance Sheet'!A37</f>
        <v>100.2</v>
      </c>
      <c r="B14" s="24" t="str">
        <f>'Output-Balance Sheet'!B37</f>
        <v>Fixed Deposit in Central Bank Licensing Coop Banks</v>
      </c>
      <c r="C14" s="24" t="str">
        <f>'Output-Balance Sheet'!C37</f>
        <v>नेपाल राष्ट्र बैंकबाट इजाजतपत्र प्राप्त सहकारी बैंकहरुमा रहेको मुद्दती बचत</v>
      </c>
      <c r="D14" s="1">
        <f>'Output-Balance Sheet'!D37</f>
        <v>0</v>
      </c>
      <c r="E14" s="29">
        <v>1</v>
      </c>
      <c r="F14" s="1">
        <f t="shared" si="1"/>
        <v>0</v>
      </c>
    </row>
    <row r="15" spans="1:6" ht="29" x14ac:dyDescent="0.35">
      <c r="A15" s="1">
        <f>'Output-Balance Sheet'!A38</f>
        <v>100.3</v>
      </c>
      <c r="B15" s="24" t="str">
        <f>'Output-Balance Sheet'!B38</f>
        <v>Investment in Government Securities</v>
      </c>
      <c r="C15" s="24" t="str">
        <f>'Output-Balance Sheet'!C38</f>
        <v>सरकारी ऋणपत्रमा गरेको लगानी</v>
      </c>
      <c r="D15" s="1">
        <f>'Output-Balance Sheet'!D38</f>
        <v>0</v>
      </c>
      <c r="E15" s="29">
        <v>1</v>
      </c>
      <c r="F15" s="1">
        <f t="shared" si="1"/>
        <v>0</v>
      </c>
    </row>
    <row r="16" spans="1:6" ht="29" x14ac:dyDescent="0.35">
      <c r="A16" s="1">
        <f>'Output-Balance Sheet'!A39</f>
        <v>100.4</v>
      </c>
      <c r="B16" s="24" t="str">
        <f>'Output-Balance Sheet'!B39</f>
        <v>Fixed Deposit in Federations/Networks</v>
      </c>
      <c r="C16" s="24" t="str">
        <f>'Output-Balance Sheet'!C39</f>
        <v>संघहरुमा रहेको मुद्दती बचत</v>
      </c>
      <c r="D16" s="1">
        <f>'Output-Balance Sheet'!D39</f>
        <v>0</v>
      </c>
      <c r="E16" s="29">
        <v>1</v>
      </c>
      <c r="F16" s="1">
        <f t="shared" si="1"/>
        <v>0</v>
      </c>
    </row>
    <row r="17" spans="1:6" ht="43.5" x14ac:dyDescent="0.35">
      <c r="A17" s="1">
        <f>'Output-Balance Sheet'!A40</f>
        <v>100.5</v>
      </c>
      <c r="B17" s="24" t="str">
        <f>'Output-Balance Sheet'!B40</f>
        <v>Shares and Regular Savings in Federations/Networks</v>
      </c>
      <c r="C17" s="24" t="str">
        <f>'Output-Balance Sheet'!C40</f>
        <v>शेयर लगानी एवं संघहरुमा गरिएको नियमित बचत</v>
      </c>
      <c r="D17" s="1">
        <f>'Output-Balance Sheet'!D40</f>
        <v>0</v>
      </c>
      <c r="E17" s="29">
        <v>1</v>
      </c>
      <c r="F17" s="1">
        <f t="shared" si="1"/>
        <v>0</v>
      </c>
    </row>
    <row r="18" spans="1:6" ht="29" x14ac:dyDescent="0.35">
      <c r="A18" s="1">
        <f>'Output-Balance Sheet'!A41</f>
        <v>100.6</v>
      </c>
      <c r="B18" s="24" t="str">
        <f>'Output-Balance Sheet'!B41</f>
        <v xml:space="preserve">Investment in Specialized Coop Federation </v>
      </c>
      <c r="C18" s="24" t="str">
        <f>'Output-Balance Sheet'!C41</f>
        <v xml:space="preserve">विशिष्टीकृत संघहरुमा लगानी </v>
      </c>
      <c r="D18" s="1">
        <f>'Output-Balance Sheet'!D41</f>
        <v>0</v>
      </c>
      <c r="E18" s="29">
        <v>1</v>
      </c>
      <c r="F18" s="1">
        <f t="shared" si="1"/>
        <v>0</v>
      </c>
    </row>
    <row r="19" spans="1:6" ht="29" x14ac:dyDescent="0.35">
      <c r="A19" s="1">
        <f>'Output-Balance Sheet'!A42</f>
        <v>100.7</v>
      </c>
      <c r="B19" s="24" t="str">
        <f>'Output-Balance Sheet'!B42</f>
        <v>Investment in Non-Financial Investment</v>
      </c>
      <c r="C19" s="24" t="str">
        <f>'Output-Balance Sheet'!C42</f>
        <v>गैर वित्तीय क्षेत्रमा शेयर लगानी (सुपरमार्केट, हस्पिटल, स्कुल आदिमा गरिएको लगानी)</v>
      </c>
      <c r="D19" s="1">
        <f>'Output-Balance Sheet'!D42</f>
        <v>0</v>
      </c>
      <c r="E19" s="29">
        <v>1</v>
      </c>
      <c r="F19" s="1">
        <f t="shared" si="1"/>
        <v>0</v>
      </c>
    </row>
    <row r="20" spans="1:6" x14ac:dyDescent="0.35">
      <c r="A20" s="1">
        <f>'Output-Balance Sheet'!A43</f>
        <v>110</v>
      </c>
      <c r="B20" s="24" t="str">
        <f>'Output-Balance Sheet'!B43</f>
        <v>Loan Investment</v>
      </c>
      <c r="C20" s="24" t="str">
        <f>'Output-Balance Sheet'!C43</f>
        <v>ऋण लगानी</v>
      </c>
      <c r="D20" s="1">
        <f>'Output-Balance Sheet'!D43</f>
        <v>0</v>
      </c>
      <c r="E20" s="1"/>
      <c r="F20" s="1"/>
    </row>
    <row r="21" spans="1:6" ht="29" x14ac:dyDescent="0.35">
      <c r="A21" s="1">
        <f>'Output-Balance Sheet'!A44</f>
        <v>110.1</v>
      </c>
      <c r="B21" s="24" t="str">
        <f>'Output-Balance Sheet'!B44</f>
        <v>Loan Against Savings (Not Exceeding 90% of Savings)</v>
      </c>
      <c r="C21" s="24" t="str">
        <f>'Output-Balance Sheet'!C44</f>
        <v>बचत सुरक्षणमा प्रवाह गरिएको लगानीमा रहेको ऋण रकम</v>
      </c>
      <c r="D21" s="1">
        <f>'Output-Balance Sheet'!D44</f>
        <v>0</v>
      </c>
      <c r="E21" s="29">
        <v>0</v>
      </c>
      <c r="F21" s="1">
        <f>D21*E21</f>
        <v>0</v>
      </c>
    </row>
    <row r="22" spans="1:6" ht="29" x14ac:dyDescent="0.35">
      <c r="A22" s="1">
        <f>'Output-Balance Sheet'!A45</f>
        <v>110.2</v>
      </c>
      <c r="B22" s="24" t="str">
        <f>'Output-Balance Sheet'!B45</f>
        <v>Collateral Loan (Self-Family owned Collateral)</v>
      </c>
      <c r="C22" s="24" t="str">
        <f>'Output-Balance Sheet'!C45</f>
        <v>धितो सुरक्षण (स्वयं र पारिवारिक धितो) मा प्रवाह गरिएको लगानीमा रहेको ऋण रकम</v>
      </c>
      <c r="D22" s="1">
        <f>'Output-Balance Sheet'!D45</f>
        <v>0</v>
      </c>
      <c r="E22" s="29"/>
      <c r="F22" s="1"/>
    </row>
    <row r="23" spans="1:6" ht="29" x14ac:dyDescent="0.35">
      <c r="A23" s="1">
        <f>'Output-Balance Sheet'!A46</f>
        <v>110.3</v>
      </c>
      <c r="B23" s="24" t="str">
        <f>'Output-Balance Sheet'!B46</f>
        <v>Non-Collateral Loan</v>
      </c>
      <c r="C23" s="24" t="str">
        <f>'Output-Balance Sheet'!C46</f>
        <v>बिना धितोमा प्रवाह गरिएको लगानीमा रहेको ऋण रकम</v>
      </c>
      <c r="D23" s="1">
        <f>'Output-Balance Sheet'!D46</f>
        <v>0</v>
      </c>
      <c r="E23" s="29"/>
      <c r="F23" s="1"/>
    </row>
    <row r="24" spans="1:6" ht="29" x14ac:dyDescent="0.35">
      <c r="A24" s="1">
        <f>'Output-Balance Sheet'!A47</f>
        <v>110.4</v>
      </c>
      <c r="B24" s="24" t="str">
        <f>'Output-Balance Sheet'!B47</f>
        <v>Third Party Collateral Loan</v>
      </c>
      <c r="C24" s="24" t="str">
        <f>'Output-Balance Sheet'!C47</f>
        <v>तेस्रो पक्ष धितोमा प्रवाह गरिएको लगानीमा रहेको ऋण रकम</v>
      </c>
      <c r="D24" s="1">
        <f>'Output-Balance Sheet'!D47</f>
        <v>0</v>
      </c>
      <c r="E24" s="29"/>
      <c r="F24" s="1"/>
    </row>
    <row r="25" spans="1:6" x14ac:dyDescent="0.35">
      <c r="A25" s="1" t="str">
        <f>'Output-Balance Sheet'!A48</f>
        <v>Less:</v>
      </c>
      <c r="B25" s="24" t="s">
        <v>242</v>
      </c>
      <c r="C25" s="24" t="str">
        <f>'Output-Balance Sheet'!C48</f>
        <v xml:space="preserve">ऋण सुरक्षण कोष रकम </v>
      </c>
      <c r="D25" s="1">
        <f>'Input-Loan Ageing'!E17</f>
        <v>0</v>
      </c>
      <c r="E25" s="1"/>
      <c r="F25" s="1"/>
    </row>
    <row r="26" spans="1:6" x14ac:dyDescent="0.35">
      <c r="A26" s="1">
        <f>'Output-Balance Sheet'!A49</f>
        <v>0</v>
      </c>
      <c r="B26" s="24" t="str">
        <f>'Output-Balance Sheet'!B49</f>
        <v>Net Outstanding Loan</v>
      </c>
      <c r="C26" s="24">
        <f>'Output-Balance Sheet'!C49</f>
        <v>0</v>
      </c>
      <c r="D26" s="1">
        <f>SUM(D22:D24)-D25</f>
        <v>0</v>
      </c>
      <c r="E26" s="29">
        <v>1</v>
      </c>
      <c r="F26" s="1">
        <f>D26*E26</f>
        <v>0</v>
      </c>
    </row>
    <row r="27" spans="1:6" x14ac:dyDescent="0.35">
      <c r="A27" s="1">
        <f>'Output-Balance Sheet'!A50</f>
        <v>120</v>
      </c>
      <c r="B27" s="24" t="str">
        <f>'Output-Balance Sheet'!B50</f>
        <v>Receivable</v>
      </c>
      <c r="C27" s="24" t="str">
        <f>'Output-Balance Sheet'!C50</f>
        <v>पाउनु पर्ने हिसाब</v>
      </c>
      <c r="D27" s="1">
        <f>'Output-Balance Sheet'!D50</f>
        <v>0</v>
      </c>
      <c r="E27" s="29">
        <v>1</v>
      </c>
      <c r="F27" s="1">
        <f t="shared" ref="F27:F36" si="2">D27*E27</f>
        <v>0</v>
      </c>
    </row>
    <row r="28" spans="1:6" x14ac:dyDescent="0.35">
      <c r="A28" s="1">
        <f>'Output-Balance Sheet'!A51</f>
        <v>130</v>
      </c>
      <c r="B28" s="24" t="str">
        <f>'Output-Balance Sheet'!B51</f>
        <v>Fixed Assets</v>
      </c>
      <c r="C28" s="24" t="str">
        <f>'Output-Balance Sheet'!C51</f>
        <v>स्थिर सम्पत्ति</v>
      </c>
      <c r="D28" s="1">
        <f>'Output-Balance Sheet'!D51</f>
        <v>0</v>
      </c>
      <c r="E28" s="29">
        <v>1</v>
      </c>
      <c r="F28" s="1">
        <f t="shared" si="2"/>
        <v>0</v>
      </c>
    </row>
    <row r="29" spans="1:6" x14ac:dyDescent="0.35">
      <c r="A29" s="1">
        <f>'Output-Balance Sheet'!A52</f>
        <v>130.1</v>
      </c>
      <c r="B29" s="24" t="str">
        <f>'Output-Balance Sheet'!B52</f>
        <v>Land &amp; Building</v>
      </c>
      <c r="C29" s="24" t="str">
        <f>'Output-Balance Sheet'!C52</f>
        <v>घर जग्गा</v>
      </c>
      <c r="D29" s="1">
        <f>'Output-Balance Sheet'!D52</f>
        <v>0</v>
      </c>
      <c r="E29" s="29">
        <v>1</v>
      </c>
      <c r="F29" s="1">
        <f t="shared" si="2"/>
        <v>0</v>
      </c>
    </row>
    <row r="30" spans="1:6" ht="29" x14ac:dyDescent="0.35">
      <c r="A30" s="1">
        <f>'Output-Balance Sheet'!A53</f>
        <v>130.19999999999999</v>
      </c>
      <c r="B30" s="24" t="str">
        <f>'Output-Balance Sheet'!B53</f>
        <v>Other Fixed Assets beyond Land &amp; Building</v>
      </c>
      <c r="C30" s="24" t="str">
        <f>'Output-Balance Sheet'!C53</f>
        <v>घरजग्गा बाहेकको अन्य स्थिर सम्पत्ति</v>
      </c>
      <c r="D30" s="1">
        <f>'Output-Balance Sheet'!D53</f>
        <v>0</v>
      </c>
      <c r="E30" s="29">
        <v>1</v>
      </c>
      <c r="F30" s="1">
        <f t="shared" si="2"/>
        <v>0</v>
      </c>
    </row>
    <row r="31" spans="1:6" x14ac:dyDescent="0.35">
      <c r="A31" s="21">
        <f>'Output-Balance Sheet'!A54</f>
        <v>140</v>
      </c>
      <c r="B31" s="26" t="str">
        <f>'Output-Balance Sheet'!B54</f>
        <v>Other Assets</v>
      </c>
      <c r="C31" s="26" t="str">
        <f>'Output-Balance Sheet'!C54</f>
        <v>अन्य सम्पत्तिहरु</v>
      </c>
      <c r="D31" s="21">
        <f>'Output-Balance Sheet'!D54</f>
        <v>0</v>
      </c>
      <c r="E31" s="29"/>
      <c r="F31" s="21">
        <f>'Output-Balance Sheet'!F54</f>
        <v>0</v>
      </c>
    </row>
    <row r="32" spans="1:6" x14ac:dyDescent="0.35">
      <c r="A32" s="1">
        <f>'Output-Balance Sheet'!A55</f>
        <v>140.1</v>
      </c>
      <c r="B32" s="24" t="str">
        <f>'Output-Balance Sheet'!B55</f>
        <v>Non-Banking Assets</v>
      </c>
      <c r="C32" s="24" t="str">
        <f>'Output-Balance Sheet'!C55</f>
        <v>गैह्र बैंकिङ सम्पत्ति</v>
      </c>
      <c r="D32" s="1">
        <f>'Output-Balance Sheet'!D55</f>
        <v>0</v>
      </c>
      <c r="E32" s="29">
        <v>1</v>
      </c>
      <c r="F32" s="1">
        <f t="shared" si="2"/>
        <v>0</v>
      </c>
    </row>
    <row r="33" spans="1:8" ht="29" x14ac:dyDescent="0.35">
      <c r="A33" s="1" t="str">
        <f>'Output-Balance Sheet'!A56</f>
        <v>Less:</v>
      </c>
      <c r="B33" s="24" t="str">
        <f>'Output-Balance Sheet'!B56</f>
        <v>Provision for other Non Banking Assets</v>
      </c>
      <c r="C33" s="24" t="str">
        <f>'Output-Balance Sheet'!C56</f>
        <v>गैह्रबैंकिङ सम्पतिको लागि छुट्याइएको सुरक्षण</v>
      </c>
      <c r="D33" s="1">
        <f>'Output-Balance Sheet'!D56</f>
        <v>0</v>
      </c>
      <c r="E33" s="29">
        <v>1</v>
      </c>
      <c r="F33" s="1">
        <f t="shared" si="2"/>
        <v>0</v>
      </c>
    </row>
    <row r="34" spans="1:8" x14ac:dyDescent="0.35">
      <c r="A34" s="1">
        <f>'Output-Balance Sheet'!A57</f>
        <v>0</v>
      </c>
      <c r="B34" s="24" t="str">
        <f>'Output-Balance Sheet'!B57</f>
        <v>Net Non Banking Assets</v>
      </c>
      <c r="C34" s="24" t="str">
        <f>'Output-Balance Sheet'!C57</f>
        <v xml:space="preserve"> खुद गैह्रबैकिङ सम्पत्ति </v>
      </c>
      <c r="D34" s="1">
        <f>'Output-Balance Sheet'!D57</f>
        <v>0</v>
      </c>
      <c r="E34" s="29">
        <v>1</v>
      </c>
      <c r="F34" s="1">
        <f t="shared" si="2"/>
        <v>0</v>
      </c>
    </row>
    <row r="35" spans="1:8" x14ac:dyDescent="0.35">
      <c r="A35" s="1">
        <f>'Output-Balance Sheet'!A58</f>
        <v>140.19999999999999</v>
      </c>
      <c r="B35" s="24" t="str">
        <f>'Output-Balance Sheet'!B58</f>
        <v>Other Assets</v>
      </c>
      <c r="C35" s="24" t="str">
        <f>'Output-Balance Sheet'!C58</f>
        <v>अन्य सम्पत्ति</v>
      </c>
      <c r="D35" s="1">
        <f>'Output-Balance Sheet'!D58</f>
        <v>0</v>
      </c>
      <c r="E35" s="29">
        <v>1</v>
      </c>
      <c r="F35" s="1">
        <f t="shared" si="2"/>
        <v>0</v>
      </c>
    </row>
    <row r="36" spans="1:8" ht="29" x14ac:dyDescent="0.35">
      <c r="A36" s="1" t="s">
        <v>229</v>
      </c>
      <c r="B36" s="24" t="s">
        <v>244</v>
      </c>
      <c r="C36" s="24"/>
      <c r="D36" s="1">
        <f>'Input-TB'!D31*-1</f>
        <v>0</v>
      </c>
      <c r="E36" s="29">
        <v>1</v>
      </c>
      <c r="F36" s="1">
        <f t="shared" si="2"/>
        <v>0</v>
      </c>
    </row>
    <row r="37" spans="1:8" x14ac:dyDescent="0.35">
      <c r="A37" s="1"/>
      <c r="B37" s="24"/>
      <c r="C37" s="24" t="s">
        <v>237</v>
      </c>
      <c r="D37" s="1">
        <f>D6+D7+D12+D21+D26+D27+D28+D31+D36</f>
        <v>0</v>
      </c>
      <c r="E37" s="1"/>
      <c r="F37" s="1">
        <f>F6+F7+F12+F21+F26+F27+F28+F31+F36</f>
        <v>0</v>
      </c>
    </row>
    <row r="38" spans="1:8" x14ac:dyDescent="0.35">
      <c r="B38" s="9" t="str">
        <f>B1</f>
        <v>संस्थाको नाम</v>
      </c>
      <c r="C38" s="9" t="str">
        <f>C1</f>
        <v>ABC SACCOS</v>
      </c>
    </row>
    <row r="39" spans="1:8" x14ac:dyDescent="0.35">
      <c r="B39" s="9" t="str">
        <f>B2</f>
        <v xml:space="preserve">जिल्ला </v>
      </c>
      <c r="C39" s="9" t="str">
        <f>C2</f>
        <v>ABC SACCOS</v>
      </c>
    </row>
    <row r="40" spans="1:8" x14ac:dyDescent="0.35">
      <c r="C40" s="9" t="s">
        <v>348</v>
      </c>
    </row>
    <row r="41" spans="1:8" x14ac:dyDescent="0.35">
      <c r="B41" s="26" t="str">
        <f>'Output-Balance Sheet'!B4</f>
        <v>Account Name (English)</v>
      </c>
      <c r="C41" s="26" t="str">
        <f>'Output-Balance Sheet'!C4</f>
        <v>Account Name (Nepali)</v>
      </c>
      <c r="D41" s="21" t="str">
        <f>'Output-Balance Sheet'!D4</f>
        <v>Amount in Rs</v>
      </c>
    </row>
    <row r="42" spans="1:8" x14ac:dyDescent="0.35">
      <c r="B42" s="24" t="str">
        <f>'Output-Balance Sheet'!B5</f>
        <v>Share Capital</v>
      </c>
      <c r="C42" s="24" t="str">
        <f>'Output-Balance Sheet'!C5</f>
        <v>शेयर पूँजी</v>
      </c>
      <c r="D42" s="1">
        <f>'Output-Balance Sheet'!D5</f>
        <v>0</v>
      </c>
    </row>
    <row r="43" spans="1:8" x14ac:dyDescent="0.35">
      <c r="B43" s="24" t="str">
        <f>'Output-Balance Sheet'!B7</f>
        <v>General Reserve Fund</v>
      </c>
      <c r="C43" s="24" t="str">
        <f>'Output-Balance Sheet'!C7</f>
        <v>जगेडा कोष</v>
      </c>
      <c r="D43" s="1">
        <f>'Output-Balance Sheet'!D7</f>
        <v>0</v>
      </c>
    </row>
    <row r="44" spans="1:8" x14ac:dyDescent="0.35">
      <c r="B44" s="24" t="str">
        <f>'Output-Balance Sheet'!B8</f>
        <v>Loss Fulfilment Fund</v>
      </c>
      <c r="C44" s="24" t="str">
        <f>'Output-Balance Sheet'!C8</f>
        <v>घाटापूर्ती कोष</v>
      </c>
      <c r="D44" s="1">
        <f>'Output-Balance Sheet'!D8</f>
        <v>0</v>
      </c>
    </row>
    <row r="45" spans="1:8" ht="29" x14ac:dyDescent="0.35">
      <c r="B45" s="24" t="str">
        <f>'Output-Balance Sheet'!B13</f>
        <v>Profit/Loss from Income Statement</v>
      </c>
      <c r="C45" s="24" t="str">
        <f>'Output-Balance Sheet'!C13</f>
        <v xml:space="preserve">नाफा/नोक्सान </v>
      </c>
      <c r="D45" s="1">
        <f>'Output-Balance Sheet'!D13</f>
        <v>0</v>
      </c>
    </row>
    <row r="46" spans="1:8" x14ac:dyDescent="0.35">
      <c r="B46" s="24" t="s">
        <v>349</v>
      </c>
      <c r="C46" s="24" t="s">
        <v>366</v>
      </c>
      <c r="D46" s="1">
        <f>SUM(D42:D45)</f>
        <v>0</v>
      </c>
    </row>
    <row r="47" spans="1:8" ht="29" x14ac:dyDescent="0.35">
      <c r="B47" s="24" t="s">
        <v>376</v>
      </c>
      <c r="C47" s="24" t="s">
        <v>377</v>
      </c>
      <c r="D47" s="1">
        <f>IF(H56&gt;H60,(H60-H56),0)</f>
        <v>0</v>
      </c>
      <c r="G47" t="s">
        <v>354</v>
      </c>
    </row>
    <row r="48" spans="1:8" x14ac:dyDescent="0.35">
      <c r="B48" s="24" t="s">
        <v>380</v>
      </c>
      <c r="C48" s="24" t="s">
        <v>381</v>
      </c>
      <c r="D48" s="1">
        <f>D46+D47</f>
        <v>0</v>
      </c>
      <c r="G48" t="s">
        <v>355</v>
      </c>
      <c r="H48">
        <f>ROUND(F37*1.5%,2)</f>
        <v>0</v>
      </c>
    </row>
    <row r="49" spans="2:8" x14ac:dyDescent="0.35">
      <c r="B49" s="24" t="s">
        <v>360</v>
      </c>
      <c r="C49" s="24" t="s">
        <v>361</v>
      </c>
      <c r="D49" s="21" t="e">
        <f>ROUND(D46/F37*100,2)</f>
        <v>#DIV/0!</v>
      </c>
      <c r="G49" t="s">
        <v>356</v>
      </c>
      <c r="H49">
        <f>IF('Input-Loan Ageing'!F19&gt;'Input-Loan Ageing'!E18,('Input-Loan Ageing'!F19-'Input-Loan Ageing'!E18),0)</f>
        <v>0</v>
      </c>
    </row>
    <row r="50" spans="2:8" ht="29" x14ac:dyDescent="0.35">
      <c r="B50" s="24" t="s">
        <v>350</v>
      </c>
      <c r="C50" s="24" t="s">
        <v>351</v>
      </c>
      <c r="D50" s="1">
        <f>'Input-Loan Ageing'!E12</f>
        <v>0</v>
      </c>
    </row>
    <row r="51" spans="2:8" ht="29" x14ac:dyDescent="0.35">
      <c r="B51" s="24" t="s">
        <v>352</v>
      </c>
      <c r="C51" s="24" t="s">
        <v>353</v>
      </c>
      <c r="D51" s="1">
        <f>IF(H48&gt;H49,H49,H48)</f>
        <v>0</v>
      </c>
      <c r="G51" t="s">
        <v>357</v>
      </c>
    </row>
    <row r="52" spans="2:8" ht="29" x14ac:dyDescent="0.35">
      <c r="B52" s="24" t="str">
        <f>'Output-Balance Sheet'!B10</f>
        <v>Non Specific Reserve Fund (If Any)</v>
      </c>
      <c r="C52" s="24" t="str">
        <f>'Output-Balance Sheet'!C10</f>
        <v>प्रयोजन किटान नगरिएका कोषहरु (सहकारी विकास कोष+जोखिम व्यवस्थापन कोष)</v>
      </c>
      <c r="D52" s="1">
        <f>'Output-Balance Sheet'!D10</f>
        <v>0</v>
      </c>
      <c r="G52" t="s">
        <v>358</v>
      </c>
      <c r="H52">
        <f>'Output-Balance Sheet'!D9</f>
        <v>0</v>
      </c>
    </row>
    <row r="53" spans="2:8" ht="29" x14ac:dyDescent="0.35">
      <c r="B53" s="24" t="str">
        <f>'Output-Balance Sheet'!B9</f>
        <v>Assets Revaluation Reserve</v>
      </c>
      <c r="C53" s="24" t="str">
        <f>'Output-Balance Sheet'!C9</f>
        <v>सम्पति पुनर्मूल्याकंन कोष</v>
      </c>
      <c r="D53" s="1">
        <f>IF(H52&gt;H53,H53,H52)</f>
        <v>0</v>
      </c>
      <c r="G53" t="s">
        <v>359</v>
      </c>
      <c r="H53">
        <f>ROUND((D50+D51+D52)/98*2,2)</f>
        <v>0</v>
      </c>
    </row>
    <row r="54" spans="2:8" ht="29" x14ac:dyDescent="0.35">
      <c r="B54" s="24" t="s">
        <v>362</v>
      </c>
      <c r="C54" s="24" t="s">
        <v>363</v>
      </c>
      <c r="D54" s="1">
        <f>SUM(D50:D53)</f>
        <v>0</v>
      </c>
    </row>
    <row r="55" spans="2:8" x14ac:dyDescent="0.35">
      <c r="B55" s="24" t="s">
        <v>364</v>
      </c>
      <c r="C55" s="24" t="s">
        <v>365</v>
      </c>
      <c r="D55" s="21" t="e">
        <f>ROUND(D54/F37*100,2)</f>
        <v>#DIV/0!</v>
      </c>
      <c r="G55" t="s">
        <v>373</v>
      </c>
    </row>
    <row r="56" spans="2:8" x14ac:dyDescent="0.35">
      <c r="B56" s="26" t="s">
        <v>367</v>
      </c>
      <c r="C56" s="26" t="s">
        <v>368</v>
      </c>
      <c r="D56" s="21" t="e">
        <f>D49+D55</f>
        <v>#DIV/0!</v>
      </c>
      <c r="G56" t="s">
        <v>358</v>
      </c>
      <c r="H56">
        <f>'Output-Balance Sheet'!D52</f>
        <v>0</v>
      </c>
    </row>
    <row r="57" spans="2:8" ht="29" x14ac:dyDescent="0.35">
      <c r="B57" s="24" t="s">
        <v>369</v>
      </c>
      <c r="C57" s="24" t="s">
        <v>370</v>
      </c>
      <c r="D57" s="1">
        <f>D48+D54-D42</f>
        <v>0</v>
      </c>
      <c r="G57" t="s">
        <v>374</v>
      </c>
      <c r="H57">
        <f>D43*50%</f>
        <v>0</v>
      </c>
    </row>
    <row r="58" spans="2:8" ht="29" x14ac:dyDescent="0.35">
      <c r="B58" s="24" t="s">
        <v>371</v>
      </c>
      <c r="C58" s="24" t="s">
        <v>372</v>
      </c>
      <c r="D58" s="1" t="e">
        <f>ROUND(D57/F37*100,2)</f>
        <v>#DIV/0!</v>
      </c>
      <c r="G58" t="s">
        <v>375</v>
      </c>
      <c r="H58">
        <f>D46</f>
        <v>0</v>
      </c>
    </row>
    <row r="59" spans="2:8" x14ac:dyDescent="0.35">
      <c r="G59" t="s">
        <v>378</v>
      </c>
    </row>
    <row r="60" spans="2:8" x14ac:dyDescent="0.35">
      <c r="G60" t="s">
        <v>379</v>
      </c>
      <c r="H60">
        <f>IF(H58&gt;H57,H57,H58)</f>
        <v>0</v>
      </c>
    </row>
    <row r="65" spans="8:9" ht="43.5" x14ac:dyDescent="0.35">
      <c r="H65" s="9" t="s">
        <v>432</v>
      </c>
      <c r="I65" s="9">
        <f>D46</f>
        <v>0</v>
      </c>
    </row>
    <row r="66" spans="8:9" ht="43.5" x14ac:dyDescent="0.35">
      <c r="H66" s="9" t="s">
        <v>433</v>
      </c>
      <c r="I66" s="9">
        <f>ROUND('Output-Balance Sheet'!D60*5%,2)</f>
        <v>0</v>
      </c>
    </row>
    <row r="67" spans="8:9" ht="29" x14ac:dyDescent="0.35">
      <c r="H67" s="9" t="s">
        <v>434</v>
      </c>
      <c r="I67" s="9">
        <f>IF(I65&gt;I66,I66,I65)</f>
        <v>0</v>
      </c>
    </row>
    <row r="68" spans="8:9" ht="87" x14ac:dyDescent="0.35">
      <c r="H68" s="9" t="s">
        <v>435</v>
      </c>
      <c r="I68" s="9" t="e">
        <f>ROUND(I67/'Output-Balance Sheet'!D60*100,2)</f>
        <v>#DIV/0!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BBA05-FF16-4610-877A-F77E6E13C477}">
  <dimension ref="A1:G45"/>
  <sheetViews>
    <sheetView view="pageBreakPreview" zoomScale="116" zoomScaleNormal="100" zoomScaleSheetLayoutView="116" workbookViewId="0">
      <selection sqref="A1:XFD1048576"/>
    </sheetView>
  </sheetViews>
  <sheetFormatPr defaultRowHeight="14.5" x14ac:dyDescent="0.35"/>
  <cols>
    <col min="2" max="2" width="28.81640625" style="9" customWidth="1"/>
    <col min="3" max="3" width="13.6328125" customWidth="1"/>
    <col min="4" max="4" width="17.54296875" customWidth="1"/>
    <col min="5" max="5" width="12" bestFit="1" customWidth="1"/>
    <col min="7" max="7" width="0" hidden="1" customWidth="1"/>
  </cols>
  <sheetData>
    <row r="1" spans="1:6" x14ac:dyDescent="0.35">
      <c r="B1" s="9" t="str">
        <f>'Output-Risk Profile'!B3</f>
        <v>संस्थाको नाम</v>
      </c>
      <c r="C1" t="str">
        <f>'Input-TB'!C1</f>
        <v>ABC SACCOS</v>
      </c>
    </row>
    <row r="2" spans="1:6" x14ac:dyDescent="0.35">
      <c r="B2" s="9" t="str">
        <f>'Output-Risk Profile'!B4</f>
        <v xml:space="preserve">जिल्ला </v>
      </c>
      <c r="C2" t="str">
        <f>'Input-TB'!C2</f>
        <v>ABC SACCOS</v>
      </c>
      <c r="D2" t="str">
        <f>'Output-Risk Profile'!E4</f>
        <v xml:space="preserve">मिति </v>
      </c>
      <c r="E2" s="84" t="str">
        <f>'Input-TB'!C9</f>
        <v>2082-03-32</v>
      </c>
    </row>
    <row r="3" spans="1:6" x14ac:dyDescent="0.35">
      <c r="B3" s="9" t="str">
        <f>'Output-Risk Profile'!B5</f>
        <v xml:space="preserve">सदस्यता नम्बर </v>
      </c>
      <c r="C3">
        <f>'Input-TB'!C6</f>
        <v>0</v>
      </c>
    </row>
    <row r="4" spans="1:6" x14ac:dyDescent="0.35">
      <c r="A4" s="31"/>
      <c r="B4" s="32" t="s">
        <v>245</v>
      </c>
      <c r="C4" s="31" t="s">
        <v>246</v>
      </c>
      <c r="D4" s="31" t="s">
        <v>247</v>
      </c>
      <c r="E4" s="31" t="s">
        <v>248</v>
      </c>
      <c r="F4" s="31" t="s">
        <v>249</v>
      </c>
    </row>
    <row r="5" spans="1:6" x14ac:dyDescent="0.35">
      <c r="A5" s="21" t="s">
        <v>250</v>
      </c>
      <c r="B5" s="26" t="s">
        <v>251</v>
      </c>
      <c r="C5" s="21"/>
      <c r="D5" s="21"/>
      <c r="E5" s="21"/>
      <c r="F5" s="21"/>
    </row>
    <row r="6" spans="1:6" ht="43.5" x14ac:dyDescent="0.35">
      <c r="A6" s="1" t="s">
        <v>252</v>
      </c>
      <c r="B6" s="24" t="s">
        <v>253</v>
      </c>
      <c r="C6" s="29">
        <v>1</v>
      </c>
      <c r="D6" s="1">
        <f>'Input-Loan Ageing'!F16+'Input-Loan Ageing'!F15</f>
        <v>0</v>
      </c>
      <c r="E6" s="1">
        <f>'Input-Loan Ageing'!C16+'Input-Loan Ageing'!C15</f>
        <v>0</v>
      </c>
      <c r="F6" s="1">
        <f t="shared" ref="F6:F13" si="0">IF(E6&lt;&gt;0,ROUND(D6/E6*100,2),0)</f>
        <v>0</v>
      </c>
    </row>
    <row r="7" spans="1:6" ht="29" x14ac:dyDescent="0.35">
      <c r="A7" s="1" t="s">
        <v>254</v>
      </c>
      <c r="B7" s="24" t="s">
        <v>255</v>
      </c>
      <c r="C7" s="29">
        <v>0.5</v>
      </c>
      <c r="D7" s="1">
        <f>'Input-Loan Ageing'!F14</f>
        <v>0</v>
      </c>
      <c r="E7" s="1">
        <f>'Input-Loan Ageing'!C14</f>
        <v>0</v>
      </c>
      <c r="F7" s="1">
        <f t="shared" si="0"/>
        <v>0</v>
      </c>
    </row>
    <row r="8" spans="1:6" ht="29" x14ac:dyDescent="0.35">
      <c r="A8" s="1" t="s">
        <v>256</v>
      </c>
      <c r="B8" s="24" t="s">
        <v>257</v>
      </c>
      <c r="C8" s="29">
        <v>0.25</v>
      </c>
      <c r="D8" s="1">
        <f>'Input-Loan Ageing'!F13</f>
        <v>0</v>
      </c>
      <c r="E8" s="1">
        <f>'Input-Loan Ageing'!C13</f>
        <v>0</v>
      </c>
      <c r="F8" s="1">
        <f t="shared" si="0"/>
        <v>0</v>
      </c>
    </row>
    <row r="9" spans="1:6" ht="29" x14ac:dyDescent="0.35">
      <c r="A9" s="1" t="s">
        <v>258</v>
      </c>
      <c r="B9" s="24" t="s">
        <v>259</v>
      </c>
      <c r="C9" s="29">
        <v>0.01</v>
      </c>
      <c r="D9" s="1">
        <f>'Input-Loan Ageing'!F11</f>
        <v>0</v>
      </c>
      <c r="E9" s="1">
        <f>'Input-Loan Ageing'!C11</f>
        <v>0</v>
      </c>
      <c r="F9" s="158">
        <f t="shared" si="0"/>
        <v>0</v>
      </c>
    </row>
    <row r="10" spans="1:6" ht="29" x14ac:dyDescent="0.35">
      <c r="A10" s="1" t="s">
        <v>260</v>
      </c>
      <c r="B10" s="24" t="s">
        <v>261</v>
      </c>
      <c r="C10" s="29">
        <v>0.01</v>
      </c>
      <c r="D10" s="1">
        <f>'Input-Loan Ageing'!F10</f>
        <v>0</v>
      </c>
      <c r="E10" s="1">
        <f>'Input-Loan Ageing'!C10</f>
        <v>0</v>
      </c>
      <c r="F10" s="1">
        <f t="shared" si="0"/>
        <v>0</v>
      </c>
    </row>
    <row r="11" spans="1:6" ht="29" x14ac:dyDescent="0.35">
      <c r="A11" s="1" t="s">
        <v>262</v>
      </c>
      <c r="B11" s="24" t="s">
        <v>263</v>
      </c>
      <c r="C11" s="29">
        <v>0.01</v>
      </c>
      <c r="D11" s="1">
        <f>'Input-Loan Ageing'!F9</f>
        <v>0</v>
      </c>
      <c r="E11" s="1">
        <f>'Input-Loan Ageing'!C9</f>
        <v>0</v>
      </c>
      <c r="F11" s="1">
        <f t="shared" si="0"/>
        <v>0</v>
      </c>
    </row>
    <row r="12" spans="1:6" x14ac:dyDescent="0.35">
      <c r="A12" s="1" t="s">
        <v>703</v>
      </c>
      <c r="B12" s="24" t="s">
        <v>709</v>
      </c>
      <c r="C12" s="29" t="s">
        <v>710</v>
      </c>
      <c r="D12" s="1">
        <f>'Input-TB'!C53</f>
        <v>0</v>
      </c>
      <c r="E12" s="1">
        <f>E6</f>
        <v>0</v>
      </c>
      <c r="F12" s="1">
        <f t="shared" si="0"/>
        <v>0</v>
      </c>
    </row>
    <row r="13" spans="1:6" ht="29" x14ac:dyDescent="0.35">
      <c r="A13" s="1" t="s">
        <v>704</v>
      </c>
      <c r="B13" s="24" t="s">
        <v>711</v>
      </c>
      <c r="C13" s="29">
        <v>1</v>
      </c>
      <c r="D13" s="1">
        <f>'Input-TB'!C54</f>
        <v>0</v>
      </c>
      <c r="E13" s="1">
        <f>D12</f>
        <v>0</v>
      </c>
      <c r="F13" s="1">
        <f t="shared" si="0"/>
        <v>0</v>
      </c>
    </row>
    <row r="14" spans="1:6" x14ac:dyDescent="0.35">
      <c r="A14" s="33" t="s">
        <v>264</v>
      </c>
      <c r="B14" s="34" t="s">
        <v>265</v>
      </c>
      <c r="C14" s="33" t="s">
        <v>266</v>
      </c>
      <c r="D14" s="33">
        <f>'Output-Balance Sheet'!D26-'Output-Balance Sheet'!D25-'Output-Balance Sheet'!D23-'Output-Balance Sheet'!D19+'Output-Balance Sheet'!D12</f>
        <v>0</v>
      </c>
      <c r="E14" s="33">
        <f>'Output-Balance Sheet'!D5+'Output-Balance Sheet'!D14</f>
        <v>0</v>
      </c>
      <c r="F14" s="33" t="e">
        <f>ROUND(D14/E14*100,2)</f>
        <v>#DIV/0!</v>
      </c>
    </row>
    <row r="15" spans="1:6" x14ac:dyDescent="0.35">
      <c r="A15" s="1" t="s">
        <v>250</v>
      </c>
      <c r="B15" s="24" t="s">
        <v>267</v>
      </c>
      <c r="C15" s="1"/>
      <c r="D15" s="1"/>
      <c r="E15" s="1"/>
      <c r="F15" s="1"/>
    </row>
    <row r="16" spans="1:6" x14ac:dyDescent="0.35">
      <c r="A16" s="1" t="s">
        <v>268</v>
      </c>
      <c r="B16" s="24" t="s">
        <v>269</v>
      </c>
      <c r="C16" s="1" t="s">
        <v>270</v>
      </c>
      <c r="D16" s="1">
        <f>'Output-Balance Sheet'!D43</f>
        <v>0</v>
      </c>
      <c r="E16" s="1">
        <f>'Output-Balance Sheet'!D60</f>
        <v>0</v>
      </c>
      <c r="F16" s="35" t="e">
        <f>D16/E16*100</f>
        <v>#DIV/0!</v>
      </c>
    </row>
    <row r="17" spans="1:6" x14ac:dyDescent="0.35">
      <c r="A17" s="1" t="s">
        <v>271</v>
      </c>
      <c r="B17" s="24" t="s">
        <v>272</v>
      </c>
      <c r="C17" s="1" t="s">
        <v>273</v>
      </c>
      <c r="D17" s="1">
        <f>'Output-Capital Adequacy'!D21+'Output-Capital Adequacy'!D26</f>
        <v>0</v>
      </c>
      <c r="E17" s="1">
        <f>'Output-Balance Sheet'!D60</f>
        <v>0</v>
      </c>
      <c r="F17" s="35" t="e">
        <f>D17/E17*100</f>
        <v>#DIV/0!</v>
      </c>
    </row>
    <row r="18" spans="1:6" x14ac:dyDescent="0.35">
      <c r="A18" s="1" t="s">
        <v>274</v>
      </c>
      <c r="B18" s="24" t="s">
        <v>275</v>
      </c>
      <c r="C18" s="1" t="s">
        <v>276</v>
      </c>
      <c r="D18" s="1">
        <f>'Output-Balance Sheet'!D30</f>
        <v>0</v>
      </c>
      <c r="E18" s="1">
        <f>E17</f>
        <v>0</v>
      </c>
      <c r="F18" s="35" t="e">
        <f t="shared" ref="F18:F31" si="1">D18/E18*100</f>
        <v>#DIV/0!</v>
      </c>
    </row>
    <row r="19" spans="1:6" ht="29" x14ac:dyDescent="0.35">
      <c r="A19" s="1" t="s">
        <v>277</v>
      </c>
      <c r="B19" s="24" t="s">
        <v>278</v>
      </c>
      <c r="C19" s="1" t="s">
        <v>279</v>
      </c>
      <c r="D19" s="1">
        <f>(D20+D21)</f>
        <v>0</v>
      </c>
      <c r="E19" s="1">
        <f>E18</f>
        <v>0</v>
      </c>
      <c r="F19" s="35" t="e">
        <f t="shared" si="1"/>
        <v>#DIV/0!</v>
      </c>
    </row>
    <row r="20" spans="1:6" ht="29" x14ac:dyDescent="0.35">
      <c r="A20" s="1" t="s">
        <v>340</v>
      </c>
      <c r="B20" s="24" t="s">
        <v>341</v>
      </c>
      <c r="C20" s="1" t="s">
        <v>343</v>
      </c>
      <c r="D20" s="1">
        <f>'Output-Balance Sheet'!D36+'Output-Balance Sheet'!D37+'Output-Balance Sheet'!D38+'Output-Balance Sheet'!D39</f>
        <v>0</v>
      </c>
      <c r="E20" s="1">
        <f>E18</f>
        <v>0</v>
      </c>
      <c r="F20" s="35" t="e">
        <f t="shared" si="1"/>
        <v>#DIV/0!</v>
      </c>
    </row>
    <row r="21" spans="1:6" ht="29" x14ac:dyDescent="0.35">
      <c r="A21" s="1" t="s">
        <v>339</v>
      </c>
      <c r="B21" s="24" t="s">
        <v>342</v>
      </c>
      <c r="C21" s="1" t="s">
        <v>343</v>
      </c>
      <c r="D21" s="1">
        <f>'Output-Balance Sheet'!D40+'Output-Balance Sheet'!D41</f>
        <v>0</v>
      </c>
      <c r="E21" s="1">
        <f>E18</f>
        <v>0</v>
      </c>
      <c r="F21" s="35" t="e">
        <f t="shared" si="1"/>
        <v>#DIV/0!</v>
      </c>
    </row>
    <row r="22" spans="1:6" ht="29" x14ac:dyDescent="0.35">
      <c r="A22" s="1" t="s">
        <v>280</v>
      </c>
      <c r="B22" s="24" t="s">
        <v>281</v>
      </c>
      <c r="C22" s="1" t="s">
        <v>282</v>
      </c>
      <c r="D22" s="1">
        <f>'Output-Balance Sheet'!D42</f>
        <v>0</v>
      </c>
      <c r="E22" s="1">
        <f t="shared" ref="E22:E27" si="2">E21</f>
        <v>0</v>
      </c>
      <c r="F22" s="35" t="e">
        <f t="shared" si="1"/>
        <v>#DIV/0!</v>
      </c>
    </row>
    <row r="23" spans="1:6" x14ac:dyDescent="0.35">
      <c r="A23" s="1" t="s">
        <v>283</v>
      </c>
      <c r="B23" s="24" t="s">
        <v>284</v>
      </c>
      <c r="C23" s="1" t="s">
        <v>270</v>
      </c>
      <c r="D23" s="1">
        <f>'Output-Balance Sheet'!D14</f>
        <v>0</v>
      </c>
      <c r="E23" s="1">
        <f t="shared" si="2"/>
        <v>0</v>
      </c>
      <c r="F23" s="35" t="e">
        <f t="shared" si="1"/>
        <v>#DIV/0!</v>
      </c>
    </row>
    <row r="24" spans="1:6" x14ac:dyDescent="0.35">
      <c r="A24" s="1" t="s">
        <v>285</v>
      </c>
      <c r="B24" s="24" t="s">
        <v>286</v>
      </c>
      <c r="C24" s="1" t="s">
        <v>287</v>
      </c>
      <c r="D24" s="1">
        <f>'Output-Balance Sheet'!D19</f>
        <v>0</v>
      </c>
      <c r="E24" s="1">
        <f t="shared" si="2"/>
        <v>0</v>
      </c>
      <c r="F24" s="35" t="e">
        <f t="shared" si="1"/>
        <v>#DIV/0!</v>
      </c>
    </row>
    <row r="25" spans="1:6" ht="29" x14ac:dyDescent="0.35">
      <c r="A25" s="1" t="s">
        <v>288</v>
      </c>
      <c r="B25" s="24" t="s">
        <v>289</v>
      </c>
      <c r="C25" s="1" t="s">
        <v>290</v>
      </c>
      <c r="D25" s="1">
        <f>'Output-Balance Sheet'!D5</f>
        <v>0</v>
      </c>
      <c r="E25" s="1">
        <f t="shared" si="2"/>
        <v>0</v>
      </c>
      <c r="F25" s="35" t="e">
        <f t="shared" si="1"/>
        <v>#DIV/0!</v>
      </c>
    </row>
    <row r="26" spans="1:6" ht="29" x14ac:dyDescent="0.35">
      <c r="A26" s="1" t="s">
        <v>291</v>
      </c>
      <c r="B26" s="24" t="s">
        <v>292</v>
      </c>
      <c r="C26" s="1" t="s">
        <v>293</v>
      </c>
      <c r="D26" s="1">
        <f>'Output-Balance Sheet'!D6</f>
        <v>0</v>
      </c>
      <c r="E26" s="1">
        <f t="shared" si="2"/>
        <v>0</v>
      </c>
      <c r="F26" s="35" t="e">
        <f t="shared" si="1"/>
        <v>#DIV/0!</v>
      </c>
    </row>
    <row r="27" spans="1:6" ht="29" x14ac:dyDescent="0.35">
      <c r="A27" s="1" t="s">
        <v>294</v>
      </c>
      <c r="B27" s="24" t="s">
        <v>295</v>
      </c>
      <c r="C27" s="1" t="s">
        <v>296</v>
      </c>
      <c r="D27" s="1">
        <f>'Output-Balance Sheet'!D7+'Output-Balance Sheet'!D8+'Output-Balance Sheet'!D10+'Output-Balance Sheet'!D13</f>
        <v>0</v>
      </c>
      <c r="E27" s="1">
        <f t="shared" si="2"/>
        <v>0</v>
      </c>
      <c r="F27" s="35" t="e">
        <f t="shared" si="1"/>
        <v>#DIV/0!</v>
      </c>
    </row>
    <row r="28" spans="1:6" x14ac:dyDescent="0.35">
      <c r="A28" s="1" t="s">
        <v>250</v>
      </c>
      <c r="B28" s="24" t="s">
        <v>297</v>
      </c>
      <c r="C28" s="1"/>
      <c r="D28" s="1"/>
      <c r="E28" s="1"/>
      <c r="F28" s="1"/>
    </row>
    <row r="29" spans="1:6" ht="29" x14ac:dyDescent="0.35">
      <c r="A29" s="1" t="s">
        <v>298</v>
      </c>
      <c r="B29" s="24" t="s">
        <v>299</v>
      </c>
      <c r="C29" s="1" t="s">
        <v>300</v>
      </c>
      <c r="D29" s="1">
        <f>'Input-Loan Ageing'!C11+'Input-Loan Ageing'!C17</f>
        <v>0</v>
      </c>
      <c r="E29" s="1">
        <f>'Input-Loan Ageing'!C17+'Input-Loan Ageing'!C12</f>
        <v>0</v>
      </c>
      <c r="F29" s="35" t="e">
        <f t="shared" si="1"/>
        <v>#DIV/0!</v>
      </c>
    </row>
    <row r="30" spans="1:6" x14ac:dyDescent="0.35">
      <c r="A30" s="1" t="s">
        <v>301</v>
      </c>
      <c r="B30" s="24" t="s">
        <v>302</v>
      </c>
      <c r="C30" s="1" t="s">
        <v>303</v>
      </c>
      <c r="D30" s="1">
        <f>'Output-Balance Sheet'!D50+'Output-Balance Sheet'!D51+'Output-Balance Sheet'!D55+'Output-Balance Sheet'!D58</f>
        <v>0</v>
      </c>
      <c r="E30" s="1">
        <f>E27</f>
        <v>0</v>
      </c>
      <c r="F30" s="35" t="e">
        <f t="shared" si="1"/>
        <v>#DIV/0!</v>
      </c>
    </row>
    <row r="31" spans="1:6" ht="43.5" x14ac:dyDescent="0.35">
      <c r="A31" s="1" t="s">
        <v>304</v>
      </c>
      <c r="B31" s="24" t="s">
        <v>305</v>
      </c>
      <c r="C31" s="1" t="s">
        <v>306</v>
      </c>
      <c r="D31" s="1">
        <f>D27</f>
        <v>0</v>
      </c>
      <c r="E31" s="1">
        <f>D30</f>
        <v>0</v>
      </c>
      <c r="F31" s="35" t="e">
        <f t="shared" si="1"/>
        <v>#DIV/0!</v>
      </c>
    </row>
    <row r="32" spans="1:6" x14ac:dyDescent="0.35">
      <c r="A32" s="1" t="s">
        <v>250</v>
      </c>
      <c r="B32" s="24" t="s">
        <v>307</v>
      </c>
      <c r="C32" s="1"/>
      <c r="D32" s="1"/>
      <c r="E32" s="1"/>
      <c r="F32" s="1"/>
    </row>
    <row r="33" spans="1:7" ht="29" x14ac:dyDescent="0.35">
      <c r="A33" s="1" t="s">
        <v>308</v>
      </c>
      <c r="B33" s="24" t="s">
        <v>309</v>
      </c>
      <c r="C33" s="1" t="s">
        <v>310</v>
      </c>
      <c r="D33" s="1">
        <f>'Output-PL'!D5</f>
        <v>0</v>
      </c>
      <c r="E33" s="1">
        <f>('Output-Balance Sheet'!D43+'Input-TB'!C48)/2</f>
        <v>0</v>
      </c>
      <c r="F33" s="1" t="e">
        <f>ROUND(D33/E33*100,2)/12*12</f>
        <v>#DIV/0!</v>
      </c>
      <c r="G33" t="s">
        <v>589</v>
      </c>
    </row>
    <row r="34" spans="1:7" ht="29" x14ac:dyDescent="0.35">
      <c r="A34" s="1" t="s">
        <v>311</v>
      </c>
      <c r="B34" s="24" t="s">
        <v>312</v>
      </c>
      <c r="C34" s="1" t="s">
        <v>313</v>
      </c>
      <c r="D34" s="1">
        <f>'Output-PL'!D6</f>
        <v>0</v>
      </c>
      <c r="E34" s="1">
        <f>('Output-Balance Sheet'!D30+'Input-TB'!C46)/2</f>
        <v>0</v>
      </c>
      <c r="F34" s="1" t="e">
        <f t="shared" ref="F34:F39" si="3">ROUND(D34/E34*100,2)/12*12</f>
        <v>#DIV/0!</v>
      </c>
      <c r="G34" t="s">
        <v>589</v>
      </c>
    </row>
    <row r="35" spans="1:7" ht="43.5" x14ac:dyDescent="0.35">
      <c r="A35" s="1" t="s">
        <v>314</v>
      </c>
      <c r="B35" s="24" t="s">
        <v>315</v>
      </c>
      <c r="C35" s="1" t="s">
        <v>313</v>
      </c>
      <c r="D35" s="1">
        <f>'Output-PL'!D7</f>
        <v>0</v>
      </c>
      <c r="E35" s="1">
        <f>('Output-Balance Sheet'!D35+'Input-TB'!C47)/2</f>
        <v>0</v>
      </c>
      <c r="F35" s="1" t="e">
        <f t="shared" si="3"/>
        <v>#DIV/0!</v>
      </c>
      <c r="G35" t="s">
        <v>589</v>
      </c>
    </row>
    <row r="36" spans="1:7" ht="43.5" x14ac:dyDescent="0.35">
      <c r="A36" s="1" t="s">
        <v>316</v>
      </c>
      <c r="B36" s="24" t="s">
        <v>317</v>
      </c>
      <c r="C36" s="1" t="s">
        <v>318</v>
      </c>
      <c r="D36" s="1">
        <f>'Output-PL'!D9</f>
        <v>0</v>
      </c>
      <c r="E36" s="1">
        <f>('Output-Balance Sheet'!D14+'Input-TB'!C44)/2</f>
        <v>0</v>
      </c>
      <c r="F36" s="1" t="e">
        <f t="shared" si="3"/>
        <v>#DIV/0!</v>
      </c>
      <c r="G36" t="s">
        <v>589</v>
      </c>
    </row>
    <row r="37" spans="1:7" ht="29" x14ac:dyDescent="0.35">
      <c r="A37" s="1" t="s">
        <v>319</v>
      </c>
      <c r="B37" s="24" t="s">
        <v>320</v>
      </c>
      <c r="C37" s="1" t="s">
        <v>313</v>
      </c>
      <c r="D37" s="1">
        <f>'Output-PL'!D10</f>
        <v>0</v>
      </c>
      <c r="E37" s="1">
        <f>('Output-Balance Sheet'!D19+'Input-TB'!C45)/2</f>
        <v>0</v>
      </c>
      <c r="F37" s="1">
        <f>IF(E37&lt;&gt;0,(ROUND(D37/E37*100,2)/12*12),0)</f>
        <v>0</v>
      </c>
      <c r="G37" t="s">
        <v>589</v>
      </c>
    </row>
    <row r="38" spans="1:7" ht="29" x14ac:dyDescent="0.35">
      <c r="A38" s="1" t="s">
        <v>321</v>
      </c>
      <c r="B38" s="24" t="s">
        <v>322</v>
      </c>
      <c r="C38" s="1" t="s">
        <v>303</v>
      </c>
      <c r="D38" s="1">
        <f>'Output-PL'!D16+'Output-PL'!D17+'Output-PL'!D18+'Output-PL'!D19+'Output-PL'!D21</f>
        <v>0</v>
      </c>
      <c r="E38" s="1">
        <f>('Output-Balance Sheet'!D60+'Input-TB'!C49)/2</f>
        <v>0</v>
      </c>
      <c r="F38" s="1" t="e">
        <f t="shared" si="3"/>
        <v>#DIV/0!</v>
      </c>
      <c r="G38" t="s">
        <v>589</v>
      </c>
    </row>
    <row r="39" spans="1:7" ht="29" x14ac:dyDescent="0.35">
      <c r="A39" s="1" t="s">
        <v>323</v>
      </c>
      <c r="B39" s="24" t="s">
        <v>384</v>
      </c>
      <c r="C39" s="1" t="s">
        <v>324</v>
      </c>
      <c r="D39" s="1">
        <f>'Output-PL'!D27</f>
        <v>0</v>
      </c>
      <c r="E39" s="1">
        <f>E38</f>
        <v>0</v>
      </c>
      <c r="F39" s="1" t="e">
        <f t="shared" si="3"/>
        <v>#DIV/0!</v>
      </c>
      <c r="G39" t="s">
        <v>589</v>
      </c>
    </row>
    <row r="40" spans="1:7" x14ac:dyDescent="0.35">
      <c r="A40" s="1" t="s">
        <v>250</v>
      </c>
      <c r="B40" s="24" t="s">
        <v>325</v>
      </c>
      <c r="C40" s="1"/>
      <c r="D40" s="1"/>
      <c r="E40" s="1"/>
      <c r="F40" s="1"/>
    </row>
    <row r="41" spans="1:7" ht="29" x14ac:dyDescent="0.35">
      <c r="A41" s="1" t="s">
        <v>326</v>
      </c>
      <c r="B41" s="24" t="s">
        <v>327</v>
      </c>
      <c r="C41" s="1" t="s">
        <v>328</v>
      </c>
      <c r="D41" s="1"/>
      <c r="E41" s="1"/>
      <c r="F41" s="1" t="e">
        <f>'Input-Additional'!B36</f>
        <v>#DIV/0!</v>
      </c>
    </row>
    <row r="42" spans="1:7" ht="29" x14ac:dyDescent="0.35">
      <c r="A42" s="1" t="s">
        <v>329</v>
      </c>
      <c r="B42" s="24" t="s">
        <v>330</v>
      </c>
      <c r="C42" s="1" t="s">
        <v>331</v>
      </c>
      <c r="D42" s="1">
        <f>'Output-Balance Sheet'!D29</f>
        <v>0</v>
      </c>
      <c r="E42" s="1">
        <f>'Output-Balance Sheet'!D60</f>
        <v>0</v>
      </c>
      <c r="F42" s="1" t="e">
        <f t="shared" ref="F42:F45" si="4">ROUND(D42/E42*100,2)/12*12</f>
        <v>#DIV/0!</v>
      </c>
    </row>
    <row r="43" spans="1:7" x14ac:dyDescent="0.35">
      <c r="A43" s="1" t="s">
        <v>250</v>
      </c>
      <c r="B43" s="24" t="s">
        <v>332</v>
      </c>
      <c r="C43" s="1"/>
      <c r="D43" s="1"/>
      <c r="E43" s="1"/>
      <c r="F43" s="1"/>
    </row>
    <row r="44" spans="1:7" x14ac:dyDescent="0.35">
      <c r="A44" s="1" t="s">
        <v>333</v>
      </c>
      <c r="B44" s="24" t="s">
        <v>334</v>
      </c>
      <c r="C44" s="1" t="s">
        <v>335</v>
      </c>
      <c r="D44" s="1">
        <f>'Input-TB'!C51-'Input-TB'!C50</f>
        <v>0</v>
      </c>
      <c r="E44" s="1">
        <f>'Input-TB'!C50</f>
        <v>0</v>
      </c>
      <c r="F44" s="1" t="e">
        <f t="shared" si="4"/>
        <v>#DIV/0!</v>
      </c>
      <c r="G44" t="s">
        <v>589</v>
      </c>
    </row>
    <row r="45" spans="1:7" x14ac:dyDescent="0.35">
      <c r="A45" s="1" t="s">
        <v>336</v>
      </c>
      <c r="B45" s="24" t="s">
        <v>337</v>
      </c>
      <c r="C45" s="1" t="s">
        <v>338</v>
      </c>
      <c r="D45" s="1">
        <f>'Output-Balance Sheet'!D60-'Input-TB'!C49</f>
        <v>0</v>
      </c>
      <c r="E45" s="1">
        <f>'Input-TB'!C49</f>
        <v>0</v>
      </c>
      <c r="F45" s="1" t="e">
        <f t="shared" si="4"/>
        <v>#DIV/0!</v>
      </c>
      <c r="G45" t="s">
        <v>589</v>
      </c>
    </row>
  </sheetData>
  <sheetProtection algorithmName="SHA-512" hashValue="bqRus9LFdHXAK/4Rk8M+9Q/lUjCO/sFEJ9xifT3Y9C326+t9j/91o48YOcagNhxKYHzov+1MmKlwi5zUQabF6Q==" saltValue="GwV/KowvMhbsQ988Il9oGw==" spinCount="100000" sheet="1" objects="1" scenarios="1"/>
  <customSheetViews>
    <customSheetView guid="{B03DA2A8-6E10-4AC8-B8E9-08273B4719D3}" scale="116" showPageBreaks="1" printArea="1" view="pageBreakPreview">
      <pageMargins left="0.7" right="0.52" top="0.75" bottom="0.75" header="0.3" footer="0.3"/>
      <pageSetup scale="88" orientation="portrait" horizontalDpi="0" verticalDpi="0" r:id="rId1"/>
    </customSheetView>
    <customSheetView guid="{AF169707-4E0F-443B-AC54-AEDA2A2EE592}" scale="116" showPageBreaks="1" printArea="1" view="pageBreakPreview">
      <pageMargins left="0.7" right="0.52" top="0.75" bottom="0.75" header="0.3" footer="0.3"/>
      <pageSetup scale="88" orientation="portrait" horizontalDpi="0" verticalDpi="0" r:id="rId2"/>
    </customSheetView>
    <customSheetView guid="{9C839773-0576-4D5E-B841-6D274CD2DC85}" scale="116" showPageBreaks="1" printArea="1" view="pageBreakPreview">
      <pageMargins left="0.7" right="0.52" top="0.75" bottom="0.75" header="0.3" footer="0.3"/>
      <pageSetup scale="88" orientation="portrait" horizontalDpi="0" verticalDpi="0" r:id="rId3"/>
    </customSheetView>
    <customSheetView guid="{25DE02B3-1CDA-48F7-89E3-3677026220D5}" scale="116" showPageBreaks="1" printArea="1" view="pageBreakPreview">
      <pageMargins left="0.7" right="0.52" top="0.75" bottom="0.75" header="0.3" footer="0.3"/>
      <pageSetup scale="88" orientation="portrait" horizontalDpi="0" verticalDpi="0" r:id="rId4"/>
    </customSheetView>
  </customSheetViews>
  <pageMargins left="0.7" right="0.52" top="0.75" bottom="0.75" header="0.3" footer="0.3"/>
  <pageSetup scale="88" orientation="portrait" horizontalDpi="0" verticalDpi="0" r:id="rId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8E726-D0AE-4274-A15E-472292C4AF77}">
  <dimension ref="A1:G45"/>
  <sheetViews>
    <sheetView workbookViewId="0">
      <selection activeCell="F6" sqref="F6"/>
    </sheetView>
  </sheetViews>
  <sheetFormatPr defaultRowHeight="14.5" x14ac:dyDescent="0.35"/>
  <cols>
    <col min="2" max="2" width="28.81640625" style="9" customWidth="1"/>
    <col min="3" max="3" width="13.6328125" customWidth="1"/>
    <col min="4" max="4" width="17.54296875" customWidth="1"/>
    <col min="5" max="5" width="12" bestFit="1" customWidth="1"/>
    <col min="7" max="7" width="0" hidden="1" customWidth="1"/>
  </cols>
  <sheetData>
    <row r="1" spans="1:6" x14ac:dyDescent="0.35">
      <c r="B1" s="9" t="str">
        <f>'Output-Risk Profile'!B3</f>
        <v>संस्थाको नाम</v>
      </c>
      <c r="C1" t="str">
        <f>'Input-TB'!C1</f>
        <v>ABC SACCOS</v>
      </c>
    </row>
    <row r="2" spans="1:6" x14ac:dyDescent="0.35">
      <c r="B2" s="9" t="str">
        <f>'Output-Risk Profile'!B4</f>
        <v xml:space="preserve">जिल्ला </v>
      </c>
      <c r="C2" t="str">
        <f>'Input-TB'!C2</f>
        <v>ABC SACCOS</v>
      </c>
      <c r="D2" t="str">
        <f>'Output-Risk Profile'!E4</f>
        <v xml:space="preserve">मिति </v>
      </c>
      <c r="E2" s="84" t="str">
        <f>'Input-TB'!C9</f>
        <v>2082-03-32</v>
      </c>
    </row>
    <row r="3" spans="1:6" x14ac:dyDescent="0.35">
      <c r="B3" s="9" t="str">
        <f>'Output-Risk Profile'!B5</f>
        <v xml:space="preserve">सदस्यता नम्बर </v>
      </c>
      <c r="C3">
        <f>'Input-TB'!C6</f>
        <v>0</v>
      </c>
    </row>
    <row r="4" spans="1:6" x14ac:dyDescent="0.35">
      <c r="A4" s="31"/>
      <c r="B4" s="32" t="s">
        <v>245</v>
      </c>
      <c r="C4" s="31" t="s">
        <v>246</v>
      </c>
      <c r="D4" s="31" t="s">
        <v>247</v>
      </c>
      <c r="E4" s="31" t="s">
        <v>248</v>
      </c>
      <c r="F4" s="31" t="s">
        <v>249</v>
      </c>
    </row>
    <row r="5" spans="1:6" x14ac:dyDescent="0.35">
      <c r="A5" s="21" t="s">
        <v>250</v>
      </c>
      <c r="B5" s="26" t="s">
        <v>251</v>
      </c>
      <c r="C5" s="21"/>
      <c r="D5" s="21"/>
      <c r="E5" s="21"/>
      <c r="F5" s="21"/>
    </row>
    <row r="6" spans="1:6" ht="43.5" x14ac:dyDescent="0.35">
      <c r="A6" s="1" t="s">
        <v>252</v>
      </c>
      <c r="B6" s="24" t="s">
        <v>253</v>
      </c>
      <c r="C6" s="29">
        <v>1</v>
      </c>
      <c r="D6" s="1">
        <f>'Input-Loan Ageing'!F16+'Input-Loan Ageing'!F15</f>
        <v>0</v>
      </c>
      <c r="E6" s="1">
        <f>'Input-Loan Ageing'!C16+'Input-Loan Ageing'!C15</f>
        <v>0</v>
      </c>
      <c r="F6" s="1">
        <f t="shared" ref="F6:F13" si="0">IF(E6&lt;&gt;0,ROUND(D6/E6*100,2),0)</f>
        <v>0</v>
      </c>
    </row>
    <row r="7" spans="1:6" ht="29" x14ac:dyDescent="0.35">
      <c r="A7" s="1" t="s">
        <v>254</v>
      </c>
      <c r="B7" s="24" t="s">
        <v>255</v>
      </c>
      <c r="C7" s="29">
        <v>0.5</v>
      </c>
      <c r="D7" s="1">
        <f>'Input-Loan Ageing'!F14</f>
        <v>0</v>
      </c>
      <c r="E7" s="1">
        <f>'Input-Loan Ageing'!C14</f>
        <v>0</v>
      </c>
      <c r="F7" s="1">
        <f t="shared" si="0"/>
        <v>0</v>
      </c>
    </row>
    <row r="8" spans="1:6" ht="29" x14ac:dyDescent="0.35">
      <c r="A8" s="1" t="s">
        <v>256</v>
      </c>
      <c r="B8" s="24" t="s">
        <v>257</v>
      </c>
      <c r="C8" s="29">
        <v>0.25</v>
      </c>
      <c r="D8" s="1">
        <f>'Input-Loan Ageing'!F13</f>
        <v>0</v>
      </c>
      <c r="E8" s="1">
        <f>'Input-Loan Ageing'!C13</f>
        <v>0</v>
      </c>
      <c r="F8" s="1">
        <f t="shared" si="0"/>
        <v>0</v>
      </c>
    </row>
    <row r="9" spans="1:6" ht="29" x14ac:dyDescent="0.35">
      <c r="A9" s="1" t="s">
        <v>258</v>
      </c>
      <c r="B9" s="24" t="s">
        <v>259</v>
      </c>
      <c r="C9" s="29">
        <v>0.01</v>
      </c>
      <c r="D9" s="1">
        <f>'Input-Loan Ageing'!F11</f>
        <v>0</v>
      </c>
      <c r="E9" s="1">
        <f>'Input-Loan Ageing'!C11</f>
        <v>0</v>
      </c>
      <c r="F9" s="158">
        <f t="shared" si="0"/>
        <v>0</v>
      </c>
    </row>
    <row r="10" spans="1:6" ht="29" x14ac:dyDescent="0.35">
      <c r="A10" s="1" t="s">
        <v>260</v>
      </c>
      <c r="B10" s="24" t="s">
        <v>261</v>
      </c>
      <c r="C10" s="29">
        <v>0.01</v>
      </c>
      <c r="D10" s="1">
        <f>'Input-Loan Ageing'!F10</f>
        <v>0</v>
      </c>
      <c r="E10" s="1">
        <f>'Input-Loan Ageing'!C10</f>
        <v>0</v>
      </c>
      <c r="F10" s="1">
        <f t="shared" si="0"/>
        <v>0</v>
      </c>
    </row>
    <row r="11" spans="1:6" ht="29" x14ac:dyDescent="0.35">
      <c r="A11" s="1" t="s">
        <v>262</v>
      </c>
      <c r="B11" s="24" t="s">
        <v>263</v>
      </c>
      <c r="C11" s="29">
        <v>0.01</v>
      </c>
      <c r="D11" s="1">
        <f>'Input-Loan Ageing'!F9</f>
        <v>0</v>
      </c>
      <c r="E11" s="1">
        <f>'Input-Loan Ageing'!C9</f>
        <v>0</v>
      </c>
      <c r="F11" s="1">
        <f t="shared" si="0"/>
        <v>0</v>
      </c>
    </row>
    <row r="12" spans="1:6" x14ac:dyDescent="0.35">
      <c r="A12" s="1" t="s">
        <v>703</v>
      </c>
      <c r="B12" s="24" t="s">
        <v>709</v>
      </c>
      <c r="C12" s="29" t="s">
        <v>710</v>
      </c>
      <c r="D12" s="1">
        <f>'Input-TB'!C53</f>
        <v>0</v>
      </c>
      <c r="E12" s="1">
        <f>E6</f>
        <v>0</v>
      </c>
      <c r="F12" s="1">
        <f t="shared" si="0"/>
        <v>0</v>
      </c>
    </row>
    <row r="13" spans="1:6" ht="29" x14ac:dyDescent="0.35">
      <c r="A13" s="1" t="s">
        <v>704</v>
      </c>
      <c r="B13" s="24" t="s">
        <v>711</v>
      </c>
      <c r="C13" s="29">
        <v>1</v>
      </c>
      <c r="D13" s="1">
        <f>'Input-TB'!C54</f>
        <v>0</v>
      </c>
      <c r="E13" s="1">
        <f>D12</f>
        <v>0</v>
      </c>
      <c r="F13" s="1">
        <f t="shared" si="0"/>
        <v>0</v>
      </c>
    </row>
    <row r="14" spans="1:6" x14ac:dyDescent="0.35">
      <c r="A14" s="33" t="s">
        <v>264</v>
      </c>
      <c r="B14" s="34" t="s">
        <v>265</v>
      </c>
      <c r="C14" s="33" t="s">
        <v>266</v>
      </c>
      <c r="D14" s="33">
        <f>'Output-Balance Sheet'!D26-'Output-Balance Sheet'!D25-'Output-Balance Sheet'!D23-'Output-Balance Sheet'!D19+'Output-Balance Sheet'!D12</f>
        <v>0</v>
      </c>
      <c r="E14" s="33">
        <f>'Output-Balance Sheet'!D5+'Output-Balance Sheet'!D14</f>
        <v>0</v>
      </c>
      <c r="F14" s="33" t="e">
        <f>ROUND(D14/E14*100,2)</f>
        <v>#DIV/0!</v>
      </c>
    </row>
    <row r="15" spans="1:6" x14ac:dyDescent="0.35">
      <c r="A15" s="1" t="s">
        <v>250</v>
      </c>
      <c r="B15" s="24" t="s">
        <v>267</v>
      </c>
      <c r="C15" s="1"/>
      <c r="D15" s="1"/>
      <c r="E15" s="1"/>
      <c r="F15" s="1"/>
    </row>
    <row r="16" spans="1:6" x14ac:dyDescent="0.35">
      <c r="A16" s="1" t="s">
        <v>268</v>
      </c>
      <c r="B16" s="24" t="s">
        <v>269</v>
      </c>
      <c r="C16" s="1" t="s">
        <v>270</v>
      </c>
      <c r="D16" s="1">
        <f>'Output-Balance Sheet'!D43</f>
        <v>0</v>
      </c>
      <c r="E16" s="1">
        <f>'Output-Balance Sheet'!D60</f>
        <v>0</v>
      </c>
      <c r="F16" s="35" t="e">
        <f>D16/E16*100</f>
        <v>#DIV/0!</v>
      </c>
    </row>
    <row r="17" spans="1:6" x14ac:dyDescent="0.35">
      <c r="A17" s="1" t="s">
        <v>271</v>
      </c>
      <c r="B17" s="24" t="s">
        <v>272</v>
      </c>
      <c r="C17" s="1" t="s">
        <v>273</v>
      </c>
      <c r="D17" s="1">
        <f>'Output-Capital Adequacy'!D21+'Output-Capital Adequacy'!D26</f>
        <v>0</v>
      </c>
      <c r="E17" s="1">
        <f>'Output-Balance Sheet'!D60</f>
        <v>0</v>
      </c>
      <c r="F17" s="35" t="e">
        <f>D17/E17*100</f>
        <v>#DIV/0!</v>
      </c>
    </row>
    <row r="18" spans="1:6" x14ac:dyDescent="0.35">
      <c r="A18" s="1" t="s">
        <v>274</v>
      </c>
      <c r="B18" s="24" t="s">
        <v>275</v>
      </c>
      <c r="C18" s="1" t="s">
        <v>276</v>
      </c>
      <c r="D18" s="1">
        <f>'Output-Balance Sheet'!D30</f>
        <v>0</v>
      </c>
      <c r="E18" s="1">
        <f>E17</f>
        <v>0</v>
      </c>
      <c r="F18" s="35" t="e">
        <f t="shared" ref="F18:F31" si="1">D18/E18*100</f>
        <v>#DIV/0!</v>
      </c>
    </row>
    <row r="19" spans="1:6" ht="29" x14ac:dyDescent="0.35">
      <c r="A19" s="1" t="s">
        <v>277</v>
      </c>
      <c r="B19" s="24" t="s">
        <v>278</v>
      </c>
      <c r="C19" s="1" t="s">
        <v>279</v>
      </c>
      <c r="D19" s="1">
        <f>(D20+D21)</f>
        <v>0</v>
      </c>
      <c r="E19" s="1">
        <f>E18</f>
        <v>0</v>
      </c>
      <c r="F19" s="35" t="e">
        <f t="shared" si="1"/>
        <v>#DIV/0!</v>
      </c>
    </row>
    <row r="20" spans="1:6" ht="29" x14ac:dyDescent="0.35">
      <c r="A20" s="1" t="s">
        <v>340</v>
      </c>
      <c r="B20" s="24" t="s">
        <v>341</v>
      </c>
      <c r="C20" s="1" t="s">
        <v>343</v>
      </c>
      <c r="D20" s="1">
        <f>'Output-Balance Sheet'!D36+'Output-Balance Sheet'!D37+'Output-Balance Sheet'!D38+'Output-Balance Sheet'!D39</f>
        <v>0</v>
      </c>
      <c r="E20" s="1">
        <f>E18</f>
        <v>0</v>
      </c>
      <c r="F20" s="35" t="e">
        <f t="shared" si="1"/>
        <v>#DIV/0!</v>
      </c>
    </row>
    <row r="21" spans="1:6" ht="29" x14ac:dyDescent="0.35">
      <c r="A21" s="1" t="s">
        <v>339</v>
      </c>
      <c r="B21" s="24" t="s">
        <v>342</v>
      </c>
      <c r="C21" s="1" t="s">
        <v>343</v>
      </c>
      <c r="D21" s="1">
        <f>'Output-Balance Sheet'!D40+'Output-Balance Sheet'!D41</f>
        <v>0</v>
      </c>
      <c r="E21" s="1">
        <f>E18</f>
        <v>0</v>
      </c>
      <c r="F21" s="35" t="e">
        <f t="shared" si="1"/>
        <v>#DIV/0!</v>
      </c>
    </row>
    <row r="22" spans="1:6" ht="29" x14ac:dyDescent="0.35">
      <c r="A22" s="1" t="s">
        <v>280</v>
      </c>
      <c r="B22" s="24" t="s">
        <v>281</v>
      </c>
      <c r="C22" s="1" t="s">
        <v>282</v>
      </c>
      <c r="D22" s="1">
        <f>'Output-Balance Sheet'!D42</f>
        <v>0</v>
      </c>
      <c r="E22" s="1">
        <f t="shared" ref="E22:E27" si="2">E21</f>
        <v>0</v>
      </c>
      <c r="F22" s="35" t="e">
        <f t="shared" si="1"/>
        <v>#DIV/0!</v>
      </c>
    </row>
    <row r="23" spans="1:6" x14ac:dyDescent="0.35">
      <c r="A23" s="1" t="s">
        <v>283</v>
      </c>
      <c r="B23" s="24" t="s">
        <v>284</v>
      </c>
      <c r="C23" s="1" t="s">
        <v>270</v>
      </c>
      <c r="D23" s="1">
        <f>'Output-Balance Sheet'!D14</f>
        <v>0</v>
      </c>
      <c r="E23" s="1">
        <f t="shared" si="2"/>
        <v>0</v>
      </c>
      <c r="F23" s="35" t="e">
        <f t="shared" si="1"/>
        <v>#DIV/0!</v>
      </c>
    </row>
    <row r="24" spans="1:6" x14ac:dyDescent="0.35">
      <c r="A24" s="1" t="s">
        <v>285</v>
      </c>
      <c r="B24" s="24" t="s">
        <v>286</v>
      </c>
      <c r="C24" s="1" t="s">
        <v>287</v>
      </c>
      <c r="D24" s="1">
        <f>'Output-Balance Sheet'!D19</f>
        <v>0</v>
      </c>
      <c r="E24" s="1">
        <f t="shared" si="2"/>
        <v>0</v>
      </c>
      <c r="F24" s="35" t="e">
        <f t="shared" si="1"/>
        <v>#DIV/0!</v>
      </c>
    </row>
    <row r="25" spans="1:6" ht="29" x14ac:dyDescent="0.35">
      <c r="A25" s="1" t="s">
        <v>288</v>
      </c>
      <c r="B25" s="24" t="s">
        <v>289</v>
      </c>
      <c r="C25" s="1" t="s">
        <v>290</v>
      </c>
      <c r="D25" s="1">
        <f>'Output-Balance Sheet'!D5</f>
        <v>0</v>
      </c>
      <c r="E25" s="1">
        <f t="shared" si="2"/>
        <v>0</v>
      </c>
      <c r="F25" s="35" t="e">
        <f t="shared" si="1"/>
        <v>#DIV/0!</v>
      </c>
    </row>
    <row r="26" spans="1:6" ht="29" x14ac:dyDescent="0.35">
      <c r="A26" s="1" t="s">
        <v>291</v>
      </c>
      <c r="B26" s="24" t="s">
        <v>292</v>
      </c>
      <c r="C26" s="1" t="s">
        <v>293</v>
      </c>
      <c r="D26" s="1">
        <f>'Output-Balance Sheet'!D6</f>
        <v>0</v>
      </c>
      <c r="E26" s="1">
        <f t="shared" si="2"/>
        <v>0</v>
      </c>
      <c r="F26" s="35" t="e">
        <f t="shared" si="1"/>
        <v>#DIV/0!</v>
      </c>
    </row>
    <row r="27" spans="1:6" ht="29" x14ac:dyDescent="0.35">
      <c r="A27" s="1" t="s">
        <v>294</v>
      </c>
      <c r="B27" s="24" t="s">
        <v>295</v>
      </c>
      <c r="C27" s="1" t="s">
        <v>296</v>
      </c>
      <c r="D27" s="1">
        <f>'Output-Balance Sheet'!D7+'Output-Balance Sheet'!D8+'Output-Balance Sheet'!D10+'Output-Balance Sheet'!D13</f>
        <v>0</v>
      </c>
      <c r="E27" s="1">
        <f t="shared" si="2"/>
        <v>0</v>
      </c>
      <c r="F27" s="35" t="e">
        <f t="shared" si="1"/>
        <v>#DIV/0!</v>
      </c>
    </row>
    <row r="28" spans="1:6" x14ac:dyDescent="0.35">
      <c r="A28" s="1" t="s">
        <v>250</v>
      </c>
      <c r="B28" s="24" t="s">
        <v>297</v>
      </c>
      <c r="C28" s="1"/>
      <c r="D28" s="1"/>
      <c r="E28" s="1"/>
      <c r="F28" s="1"/>
    </row>
    <row r="29" spans="1:6" ht="29" x14ac:dyDescent="0.35">
      <c r="A29" s="1" t="s">
        <v>298</v>
      </c>
      <c r="B29" s="24" t="s">
        <v>299</v>
      </c>
      <c r="C29" s="1" t="s">
        <v>300</v>
      </c>
      <c r="D29" s="1">
        <f>'Input-Loan Ageing'!C11+'Input-Loan Ageing'!C17</f>
        <v>0</v>
      </c>
      <c r="E29" s="1">
        <f>'Input-Loan Ageing'!C17+'Input-Loan Ageing'!C12</f>
        <v>0</v>
      </c>
      <c r="F29" s="35" t="e">
        <f t="shared" si="1"/>
        <v>#DIV/0!</v>
      </c>
    </row>
    <row r="30" spans="1:6" x14ac:dyDescent="0.35">
      <c r="A30" s="1" t="s">
        <v>301</v>
      </c>
      <c r="B30" s="24" t="s">
        <v>302</v>
      </c>
      <c r="C30" s="1" t="s">
        <v>303</v>
      </c>
      <c r="D30" s="1">
        <f>'Output-Balance Sheet'!D50+'Output-Balance Sheet'!D51+'Output-Balance Sheet'!D55+'Output-Balance Sheet'!D58</f>
        <v>0</v>
      </c>
      <c r="E30" s="1">
        <f>E27</f>
        <v>0</v>
      </c>
      <c r="F30" s="35" t="e">
        <f t="shared" si="1"/>
        <v>#DIV/0!</v>
      </c>
    </row>
    <row r="31" spans="1:6" ht="43.5" x14ac:dyDescent="0.35">
      <c r="A31" s="1" t="s">
        <v>304</v>
      </c>
      <c r="B31" s="24" t="s">
        <v>305</v>
      </c>
      <c r="C31" s="1" t="s">
        <v>306</v>
      </c>
      <c r="D31" s="1">
        <f>D27</f>
        <v>0</v>
      </c>
      <c r="E31" s="1">
        <f>D30</f>
        <v>0</v>
      </c>
      <c r="F31" s="35" t="e">
        <f t="shared" si="1"/>
        <v>#DIV/0!</v>
      </c>
    </row>
    <row r="32" spans="1:6" x14ac:dyDescent="0.35">
      <c r="A32" s="1" t="s">
        <v>250</v>
      </c>
      <c r="B32" s="24" t="s">
        <v>307</v>
      </c>
      <c r="C32" s="1"/>
      <c r="D32" s="1"/>
      <c r="E32" s="1"/>
      <c r="F32" s="1"/>
    </row>
    <row r="33" spans="1:7" ht="29" x14ac:dyDescent="0.35">
      <c r="A33" s="1" t="s">
        <v>308</v>
      </c>
      <c r="B33" s="24" t="s">
        <v>309</v>
      </c>
      <c r="C33" s="1" t="s">
        <v>310</v>
      </c>
      <c r="D33" s="1">
        <f>'Output-PL'!D5</f>
        <v>0</v>
      </c>
      <c r="E33" s="1">
        <f>('Output-Balance Sheet'!D43+'Input-TB'!C48)/2</f>
        <v>0</v>
      </c>
      <c r="F33" s="1" t="e">
        <f>ROUND(D33/E33*100,2)/12*12</f>
        <v>#DIV/0!</v>
      </c>
      <c r="G33" t="s">
        <v>589</v>
      </c>
    </row>
    <row r="34" spans="1:7" ht="29" x14ac:dyDescent="0.35">
      <c r="A34" s="1" t="s">
        <v>311</v>
      </c>
      <c r="B34" s="24" t="s">
        <v>312</v>
      </c>
      <c r="C34" s="1" t="s">
        <v>313</v>
      </c>
      <c r="D34" s="1">
        <f>'Output-PL'!D6</f>
        <v>0</v>
      </c>
      <c r="E34" s="1">
        <f>('Output-Balance Sheet'!D30+'Input-TB'!C46)/2</f>
        <v>0</v>
      </c>
      <c r="F34" s="1" t="e">
        <f t="shared" ref="F34:F39" si="3">ROUND(D34/E34*100,2)/12*12</f>
        <v>#DIV/0!</v>
      </c>
      <c r="G34" t="s">
        <v>589</v>
      </c>
    </row>
    <row r="35" spans="1:7" ht="43.5" x14ac:dyDescent="0.35">
      <c r="A35" s="1" t="s">
        <v>314</v>
      </c>
      <c r="B35" s="24" t="s">
        <v>315</v>
      </c>
      <c r="C35" s="1" t="s">
        <v>313</v>
      </c>
      <c r="D35" s="1">
        <f>'Output-PL'!D7</f>
        <v>0</v>
      </c>
      <c r="E35" s="1">
        <f>('Output-Balance Sheet'!D35+'Input-TB'!C47)/2</f>
        <v>0</v>
      </c>
      <c r="F35" s="1" t="e">
        <f t="shared" si="3"/>
        <v>#DIV/0!</v>
      </c>
      <c r="G35" t="s">
        <v>589</v>
      </c>
    </row>
    <row r="36" spans="1:7" ht="43.5" x14ac:dyDescent="0.35">
      <c r="A36" s="1" t="s">
        <v>316</v>
      </c>
      <c r="B36" s="24" t="s">
        <v>317</v>
      </c>
      <c r="C36" s="1" t="s">
        <v>318</v>
      </c>
      <c r="D36" s="1">
        <f>'Output-PL'!D9</f>
        <v>0</v>
      </c>
      <c r="E36" s="1">
        <f>('Output-Balance Sheet'!D14+'Input-TB'!C44)/2</f>
        <v>0</v>
      </c>
      <c r="F36" s="1" t="e">
        <f t="shared" si="3"/>
        <v>#DIV/0!</v>
      </c>
      <c r="G36" t="s">
        <v>589</v>
      </c>
    </row>
    <row r="37" spans="1:7" ht="29" x14ac:dyDescent="0.35">
      <c r="A37" s="1" t="s">
        <v>319</v>
      </c>
      <c r="B37" s="24" t="s">
        <v>320</v>
      </c>
      <c r="C37" s="1" t="s">
        <v>313</v>
      </c>
      <c r="D37" s="1">
        <f>'Output-PL'!D10</f>
        <v>0</v>
      </c>
      <c r="E37" s="1">
        <f>('Output-Balance Sheet'!D19+'Input-TB'!C45)/2</f>
        <v>0</v>
      </c>
      <c r="F37" s="1">
        <f>IF(E37&lt;&gt;0,(ROUND(D37/E37*100,2)/12*12),0)</f>
        <v>0</v>
      </c>
      <c r="G37" t="s">
        <v>589</v>
      </c>
    </row>
    <row r="38" spans="1:7" ht="29" x14ac:dyDescent="0.35">
      <c r="A38" s="1" t="s">
        <v>321</v>
      </c>
      <c r="B38" s="24" t="s">
        <v>322</v>
      </c>
      <c r="C38" s="1" t="s">
        <v>303</v>
      </c>
      <c r="D38" s="1">
        <f>'Output-PL'!D16+'Output-PL'!D17+'Output-PL'!D18+'Output-PL'!D19+'Output-PL'!D21</f>
        <v>0</v>
      </c>
      <c r="E38" s="1">
        <f>('Output-Balance Sheet'!D60+'Input-TB'!C49)/2</f>
        <v>0</v>
      </c>
      <c r="F38" s="1" t="e">
        <f t="shared" si="3"/>
        <v>#DIV/0!</v>
      </c>
      <c r="G38" t="s">
        <v>589</v>
      </c>
    </row>
    <row r="39" spans="1:7" ht="29" x14ac:dyDescent="0.35">
      <c r="A39" s="1" t="s">
        <v>323</v>
      </c>
      <c r="B39" s="24" t="s">
        <v>384</v>
      </c>
      <c r="C39" s="1" t="s">
        <v>324</v>
      </c>
      <c r="D39" s="1">
        <f>'Output-PL'!D27</f>
        <v>0</v>
      </c>
      <c r="E39" s="1">
        <f>E38</f>
        <v>0</v>
      </c>
      <c r="F39" s="1" t="e">
        <f t="shared" si="3"/>
        <v>#DIV/0!</v>
      </c>
      <c r="G39" t="s">
        <v>589</v>
      </c>
    </row>
    <row r="40" spans="1:7" x14ac:dyDescent="0.35">
      <c r="A40" s="1" t="s">
        <v>250</v>
      </c>
      <c r="B40" s="24" t="s">
        <v>325</v>
      </c>
      <c r="C40" s="1"/>
      <c r="D40" s="1"/>
      <c r="E40" s="1"/>
      <c r="F40" s="1"/>
    </row>
    <row r="41" spans="1:7" ht="29" x14ac:dyDescent="0.35">
      <c r="A41" s="1" t="s">
        <v>326</v>
      </c>
      <c r="B41" s="24" t="s">
        <v>327</v>
      </c>
      <c r="C41" s="1" t="s">
        <v>328</v>
      </c>
      <c r="D41" s="1"/>
      <c r="E41" s="1"/>
      <c r="F41" s="1" t="e">
        <f>'Input-Additional'!B36</f>
        <v>#DIV/0!</v>
      </c>
    </row>
    <row r="42" spans="1:7" ht="29" x14ac:dyDescent="0.35">
      <c r="A42" s="1" t="s">
        <v>329</v>
      </c>
      <c r="B42" s="24" t="s">
        <v>330</v>
      </c>
      <c r="C42" s="1" t="s">
        <v>331</v>
      </c>
      <c r="D42" s="1">
        <f>'Output-Balance Sheet'!D29</f>
        <v>0</v>
      </c>
      <c r="E42" s="1">
        <f>'Output-Balance Sheet'!D60</f>
        <v>0</v>
      </c>
      <c r="F42" s="1" t="e">
        <f t="shared" ref="F42:F45" si="4">ROUND(D42/E42*100,2)/12*12</f>
        <v>#DIV/0!</v>
      </c>
    </row>
    <row r="43" spans="1:7" x14ac:dyDescent="0.35">
      <c r="A43" s="1" t="s">
        <v>250</v>
      </c>
      <c r="B43" s="24" t="s">
        <v>332</v>
      </c>
      <c r="C43" s="1"/>
      <c r="D43" s="1"/>
      <c r="E43" s="1"/>
      <c r="F43" s="1"/>
    </row>
    <row r="44" spans="1:7" x14ac:dyDescent="0.35">
      <c r="A44" s="1" t="s">
        <v>333</v>
      </c>
      <c r="B44" s="24" t="s">
        <v>334</v>
      </c>
      <c r="C44" s="1" t="s">
        <v>335</v>
      </c>
      <c r="D44" s="1">
        <f>'Input-TB'!C51-'Input-TB'!C50</f>
        <v>0</v>
      </c>
      <c r="E44" s="1">
        <f>'Input-TB'!C50</f>
        <v>0</v>
      </c>
      <c r="F44" s="1" t="e">
        <f t="shared" si="4"/>
        <v>#DIV/0!</v>
      </c>
      <c r="G44" t="s">
        <v>589</v>
      </c>
    </row>
    <row r="45" spans="1:7" x14ac:dyDescent="0.35">
      <c r="A45" s="1" t="s">
        <v>336</v>
      </c>
      <c r="B45" s="24" t="s">
        <v>337</v>
      </c>
      <c r="C45" s="1" t="s">
        <v>338</v>
      </c>
      <c r="D45" s="1">
        <f>'Output-Balance Sheet'!D60-'Input-TB'!C49</f>
        <v>0</v>
      </c>
      <c r="E45" s="1">
        <f>'Input-TB'!C49</f>
        <v>0</v>
      </c>
      <c r="F45" s="1" t="e">
        <f t="shared" si="4"/>
        <v>#DIV/0!</v>
      </c>
      <c r="G45" t="s">
        <v>589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F4F53-E645-4FB9-B7C1-9DCC2C546F11}">
  <dimension ref="B1:C27"/>
  <sheetViews>
    <sheetView workbookViewId="0">
      <selection sqref="A1:XFD1048576"/>
    </sheetView>
  </sheetViews>
  <sheetFormatPr defaultRowHeight="14.5" x14ac:dyDescent="0.35"/>
  <cols>
    <col min="2" max="2" width="37.08984375" bestFit="1" customWidth="1"/>
    <col min="3" max="3" width="10.81640625" bestFit="1" customWidth="1"/>
  </cols>
  <sheetData>
    <row r="1" spans="2:3" x14ac:dyDescent="0.35">
      <c r="B1" t="s">
        <v>724</v>
      </c>
    </row>
    <row r="2" spans="2:3" x14ac:dyDescent="0.35">
      <c r="B2" t="s">
        <v>725</v>
      </c>
      <c r="C2">
        <f>'Output-Balance Sheet'!D5</f>
        <v>0</v>
      </c>
    </row>
    <row r="3" spans="2:3" x14ac:dyDescent="0.35">
      <c r="B3" t="s">
        <v>726</v>
      </c>
      <c r="C3">
        <f>'Output-Balance Sheet'!D7</f>
        <v>0</v>
      </c>
    </row>
    <row r="4" spans="2:3" x14ac:dyDescent="0.35">
      <c r="B4" t="s">
        <v>727</v>
      </c>
      <c r="C4">
        <f>'Output-Balance Sheet'!D8</f>
        <v>0</v>
      </c>
    </row>
    <row r="5" spans="2:3" x14ac:dyDescent="0.35">
      <c r="B5" t="s">
        <v>728</v>
      </c>
      <c r="C5" s="156">
        <f>SUM(C2:C4)</f>
        <v>0</v>
      </c>
    </row>
    <row r="6" spans="2:3" x14ac:dyDescent="0.35">
      <c r="B6" t="s">
        <v>729</v>
      </c>
      <c r="C6" s="156">
        <f>'Output-Balance Sheet'!D15</f>
        <v>0</v>
      </c>
    </row>
    <row r="7" spans="2:3" x14ac:dyDescent="0.35">
      <c r="B7" t="s">
        <v>730</v>
      </c>
      <c r="C7" s="156">
        <f>'Output-Balance Sheet'!D14</f>
        <v>0</v>
      </c>
    </row>
    <row r="8" spans="2:3" x14ac:dyDescent="0.35">
      <c r="B8" t="s">
        <v>722</v>
      </c>
      <c r="C8" s="156">
        <f>C7*35%</f>
        <v>0</v>
      </c>
    </row>
    <row r="9" spans="2:3" x14ac:dyDescent="0.35">
      <c r="B9" t="s">
        <v>723</v>
      </c>
      <c r="C9">
        <f>IF(C8&gt;C5,(C8-C5),0)</f>
        <v>0</v>
      </c>
    </row>
    <row r="10" spans="2:3" x14ac:dyDescent="0.35">
      <c r="B10" t="s">
        <v>733</v>
      </c>
      <c r="C10">
        <f>'Output-Balance Sheet'!D19</f>
        <v>0</v>
      </c>
    </row>
    <row r="11" spans="2:3" x14ac:dyDescent="0.35">
      <c r="B11" t="s">
        <v>731</v>
      </c>
      <c r="C11">
        <f>C5+C6</f>
        <v>0</v>
      </c>
    </row>
    <row r="12" spans="2:3" ht="43.5" x14ac:dyDescent="0.35">
      <c r="B12" s="9" t="s">
        <v>732</v>
      </c>
      <c r="C12">
        <f>C5+C7+C10+C9</f>
        <v>0</v>
      </c>
    </row>
    <row r="13" spans="2:3" x14ac:dyDescent="0.35">
      <c r="B13" t="s">
        <v>724</v>
      </c>
      <c r="C13" t="e">
        <f>ROUND(C11/C12*100,2)</f>
        <v>#DIV/0!</v>
      </c>
    </row>
    <row r="15" spans="2:3" x14ac:dyDescent="0.35">
      <c r="B15" t="s">
        <v>735</v>
      </c>
    </row>
    <row r="16" spans="2:3" x14ac:dyDescent="0.35">
      <c r="B16" t="s">
        <v>736</v>
      </c>
      <c r="C16">
        <f>'Input-TB'!C50</f>
        <v>0</v>
      </c>
    </row>
    <row r="17" spans="2:3" x14ac:dyDescent="0.35">
      <c r="B17" t="s">
        <v>737</v>
      </c>
      <c r="C17">
        <f>'Input-TB'!C51</f>
        <v>0</v>
      </c>
    </row>
    <row r="18" spans="2:3" x14ac:dyDescent="0.35">
      <c r="B18" t="s">
        <v>739</v>
      </c>
      <c r="C18">
        <f>'Input-Additional'!B10</f>
        <v>0</v>
      </c>
    </row>
    <row r="19" spans="2:3" x14ac:dyDescent="0.35">
      <c r="B19" t="s">
        <v>740</v>
      </c>
      <c r="C19">
        <f>'Input-Additional'!B12</f>
        <v>0</v>
      </c>
    </row>
    <row r="20" spans="2:3" x14ac:dyDescent="0.35">
      <c r="B20" t="s">
        <v>741</v>
      </c>
      <c r="C20">
        <f>C18+C19</f>
        <v>0</v>
      </c>
    </row>
    <row r="21" spans="2:3" x14ac:dyDescent="0.35">
      <c r="B21" t="s">
        <v>742</v>
      </c>
      <c r="C21">
        <f>(C16+C17)/2*6</f>
        <v>0</v>
      </c>
    </row>
    <row r="22" spans="2:3" x14ac:dyDescent="0.35">
      <c r="B22" t="s">
        <v>743</v>
      </c>
      <c r="C22" t="e">
        <f>ROUND(C20/C21*100,2)</f>
        <v>#DIV/0!</v>
      </c>
    </row>
    <row r="24" spans="2:3" x14ac:dyDescent="0.35">
      <c r="B24" t="s">
        <v>744</v>
      </c>
    </row>
    <row r="25" spans="2:3" x14ac:dyDescent="0.35">
      <c r="B25" s="1" t="s">
        <v>745</v>
      </c>
      <c r="C25" s="1">
        <f>'Input-Additional'!B14</f>
        <v>0</v>
      </c>
    </row>
    <row r="26" spans="2:3" ht="29" x14ac:dyDescent="0.35">
      <c r="B26" s="24" t="s">
        <v>746</v>
      </c>
      <c r="C26" s="1">
        <f>'Input-Additional'!B15</f>
        <v>0</v>
      </c>
    </row>
    <row r="27" spans="2:3" x14ac:dyDescent="0.35">
      <c r="B27" s="1" t="s">
        <v>744</v>
      </c>
      <c r="C27" s="1" t="e">
        <f>ROUND((C25+C26)/((C16+C17)/2)*100,2)</f>
        <v>#DIV/0!</v>
      </c>
    </row>
  </sheetData>
  <sheetProtection algorithmName="SHA-512" hashValue="Ad0zD4HZ387TE31kZQTNm1V3NAwIcNjlu3rtvbzRcB71AqFdMiyQIVKgX9jqmNsnpSb+XvtzWFzAxEok2dH5Pg==" saltValue="3xgygIw0daXiqgqqo2AB3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A89FD-9AD2-4596-8C6F-EEF89C0DABD9}">
  <dimension ref="A1:I59"/>
  <sheetViews>
    <sheetView view="pageBreakPreview" topLeftCell="A45" zoomScale="96" zoomScaleNormal="100" zoomScaleSheetLayoutView="96" workbookViewId="0">
      <selection activeCell="C50" sqref="C50"/>
    </sheetView>
  </sheetViews>
  <sheetFormatPr defaultRowHeight="14.5" x14ac:dyDescent="0.35"/>
  <cols>
    <col min="2" max="2" width="39" bestFit="1" customWidth="1"/>
    <col min="3" max="3" width="35.08984375" style="9" customWidth="1"/>
    <col min="4" max="4" width="15.81640625" style="9" customWidth="1"/>
    <col min="5" max="5" width="3.54296875" style="9" customWidth="1"/>
    <col min="6" max="6" width="16.54296875" bestFit="1" customWidth="1"/>
    <col min="7" max="7" width="25.81640625" customWidth="1"/>
    <col min="8" max="8" width="30" customWidth="1"/>
    <col min="9" max="9" width="30.54296875" bestFit="1" customWidth="1"/>
    <col min="11" max="11" width="28.08984375" customWidth="1"/>
    <col min="12" max="12" width="21.36328125" customWidth="1"/>
  </cols>
  <sheetData>
    <row r="1" spans="1:9" x14ac:dyDescent="0.35">
      <c r="B1" t="s">
        <v>0</v>
      </c>
      <c r="C1" s="9" t="s">
        <v>608</v>
      </c>
    </row>
    <row r="2" spans="1:9" x14ac:dyDescent="0.35">
      <c r="B2" t="s">
        <v>1</v>
      </c>
      <c r="C2" s="9" t="s">
        <v>608</v>
      </c>
    </row>
    <row r="3" spans="1:9" x14ac:dyDescent="0.35">
      <c r="B3" t="s">
        <v>604</v>
      </c>
      <c r="C3" s="116" t="s">
        <v>609</v>
      </c>
    </row>
    <row r="4" spans="1:9" x14ac:dyDescent="0.35">
      <c r="B4" t="s">
        <v>610</v>
      </c>
      <c r="E4" s="10"/>
      <c r="F4" s="18" t="s">
        <v>59</v>
      </c>
      <c r="G4" s="18" t="s">
        <v>72</v>
      </c>
      <c r="H4" s="18" t="s">
        <v>73</v>
      </c>
      <c r="I4" s="18" t="s">
        <v>184</v>
      </c>
    </row>
    <row r="5" spans="1:9" x14ac:dyDescent="0.35">
      <c r="B5" t="s">
        <v>611</v>
      </c>
      <c r="E5" s="11"/>
      <c r="F5" s="19">
        <v>80</v>
      </c>
      <c r="G5" s="19" t="s">
        <v>122</v>
      </c>
      <c r="H5" s="19" t="s">
        <v>123</v>
      </c>
      <c r="I5" s="33"/>
    </row>
    <row r="6" spans="1:9" x14ac:dyDescent="0.35">
      <c r="B6" t="s">
        <v>603</v>
      </c>
      <c r="E6" s="11"/>
      <c r="F6" s="18">
        <v>90</v>
      </c>
      <c r="G6" s="19" t="s">
        <v>124</v>
      </c>
      <c r="H6" s="19" t="s">
        <v>125</v>
      </c>
      <c r="I6" s="54">
        <f>SUM(I7:I10)</f>
        <v>0</v>
      </c>
    </row>
    <row r="7" spans="1:9" ht="23" customHeight="1" x14ac:dyDescent="0.35">
      <c r="B7" t="s">
        <v>613</v>
      </c>
      <c r="E7" s="11"/>
      <c r="F7" s="18">
        <v>90.1</v>
      </c>
      <c r="G7" s="18" t="s">
        <v>126</v>
      </c>
      <c r="H7" s="18" t="s">
        <v>127</v>
      </c>
      <c r="I7" s="41"/>
    </row>
    <row r="8" spans="1:9" ht="29" x14ac:dyDescent="0.35">
      <c r="B8" t="s">
        <v>612</v>
      </c>
      <c r="E8" s="11"/>
      <c r="F8" s="18">
        <v>90.2</v>
      </c>
      <c r="G8" s="18" t="s">
        <v>128</v>
      </c>
      <c r="H8" s="18" t="s">
        <v>129</v>
      </c>
      <c r="I8" s="41"/>
    </row>
    <row r="9" spans="1:9" ht="29" x14ac:dyDescent="0.35">
      <c r="B9" t="s">
        <v>614</v>
      </c>
      <c r="C9" s="9" t="s">
        <v>615</v>
      </c>
      <c r="E9" s="11"/>
      <c r="F9" s="18">
        <v>90.3</v>
      </c>
      <c r="G9" s="18" t="s">
        <v>130</v>
      </c>
      <c r="H9" s="18" t="s">
        <v>131</v>
      </c>
      <c r="I9" s="41"/>
    </row>
    <row r="10" spans="1:9" ht="29" x14ac:dyDescent="0.35">
      <c r="A10" s="12" t="s">
        <v>121</v>
      </c>
      <c r="B10" s="12" t="s">
        <v>72</v>
      </c>
      <c r="C10" s="13" t="s">
        <v>73</v>
      </c>
      <c r="D10" s="13" t="s">
        <v>60</v>
      </c>
      <c r="E10" s="10"/>
      <c r="F10" s="18">
        <v>90.4</v>
      </c>
      <c r="G10" s="18" t="s">
        <v>132</v>
      </c>
      <c r="H10" s="18" t="s">
        <v>133</v>
      </c>
      <c r="I10" s="41"/>
    </row>
    <row r="11" spans="1:9" x14ac:dyDescent="0.35">
      <c r="A11" s="16">
        <v>10</v>
      </c>
      <c r="B11" s="17" t="s">
        <v>74</v>
      </c>
      <c r="C11" s="17" t="s">
        <v>75</v>
      </c>
      <c r="D11" s="50"/>
      <c r="E11" s="10"/>
      <c r="F11" s="19">
        <v>100</v>
      </c>
      <c r="G11" s="19" t="s">
        <v>134</v>
      </c>
      <c r="H11" s="19" t="s">
        <v>56</v>
      </c>
      <c r="I11" s="54">
        <f>SUM(I12:I18)</f>
        <v>0</v>
      </c>
    </row>
    <row r="12" spans="1:9" ht="26" customHeight="1" x14ac:dyDescent="0.35">
      <c r="A12" s="16">
        <v>20</v>
      </c>
      <c r="B12" s="17" t="s">
        <v>76</v>
      </c>
      <c r="C12" s="17" t="s">
        <v>77</v>
      </c>
      <c r="D12" s="49">
        <f>SUM(D13:D17)</f>
        <v>0</v>
      </c>
      <c r="E12" s="11"/>
      <c r="F12" s="18">
        <v>100.1</v>
      </c>
      <c r="G12" s="18" t="s">
        <v>135</v>
      </c>
      <c r="H12" s="18" t="s">
        <v>136</v>
      </c>
      <c r="I12" s="41"/>
    </row>
    <row r="13" spans="1:9" ht="29" x14ac:dyDescent="0.35">
      <c r="A13" s="14">
        <v>20.100000000000001</v>
      </c>
      <c r="B13" s="12" t="s">
        <v>78</v>
      </c>
      <c r="C13" s="12" t="s">
        <v>79</v>
      </c>
      <c r="D13" s="51"/>
      <c r="E13" s="11"/>
      <c r="F13" s="18">
        <v>100.2</v>
      </c>
      <c r="G13" s="18" t="s">
        <v>137</v>
      </c>
      <c r="H13" s="18" t="s">
        <v>138</v>
      </c>
      <c r="I13" s="41"/>
    </row>
    <row r="14" spans="1:9" ht="29" x14ac:dyDescent="0.35">
      <c r="A14" s="14">
        <v>20.2</v>
      </c>
      <c r="B14" s="12" t="s">
        <v>80</v>
      </c>
      <c r="C14" s="12" t="s">
        <v>81</v>
      </c>
      <c r="D14" s="51"/>
      <c r="E14" s="11"/>
      <c r="F14" s="18">
        <v>100.3</v>
      </c>
      <c r="G14" s="18" t="s">
        <v>139</v>
      </c>
      <c r="H14" s="18" t="s">
        <v>57</v>
      </c>
      <c r="I14" s="41"/>
    </row>
    <row r="15" spans="1:9" ht="29" x14ac:dyDescent="0.35">
      <c r="A15" s="14">
        <v>20.3</v>
      </c>
      <c r="B15" s="12" t="s">
        <v>83</v>
      </c>
      <c r="C15" s="13" t="s">
        <v>84</v>
      </c>
      <c r="D15" s="51"/>
      <c r="E15" s="11"/>
      <c r="F15" s="18">
        <v>100.4</v>
      </c>
      <c r="G15" s="18" t="s">
        <v>140</v>
      </c>
      <c r="H15" s="18" t="s">
        <v>141</v>
      </c>
      <c r="I15" s="41"/>
    </row>
    <row r="16" spans="1:9" ht="29" x14ac:dyDescent="0.35">
      <c r="A16" s="14">
        <v>20.399999999999999</v>
      </c>
      <c r="B16" s="12" t="s">
        <v>85</v>
      </c>
      <c r="C16" s="13" t="s">
        <v>86</v>
      </c>
      <c r="D16" s="52"/>
      <c r="E16" s="11"/>
      <c r="F16" s="18">
        <v>100.5</v>
      </c>
      <c r="G16" s="18" t="s">
        <v>142</v>
      </c>
      <c r="H16" s="18" t="s">
        <v>143</v>
      </c>
      <c r="I16" s="41"/>
    </row>
    <row r="17" spans="1:9" ht="29" x14ac:dyDescent="0.35">
      <c r="A17" s="14">
        <v>20.5</v>
      </c>
      <c r="B17" s="12" t="s">
        <v>82</v>
      </c>
      <c r="C17" s="12" t="s">
        <v>67</v>
      </c>
      <c r="D17" s="52"/>
      <c r="E17" s="11"/>
      <c r="F17" s="28">
        <v>100.6</v>
      </c>
      <c r="G17" s="28" t="s">
        <v>344</v>
      </c>
      <c r="H17" t="s">
        <v>345</v>
      </c>
      <c r="I17" s="55"/>
    </row>
    <row r="18" spans="1:9" ht="43.5" x14ac:dyDescent="0.35">
      <c r="A18" s="16">
        <v>30</v>
      </c>
      <c r="B18" s="17" t="s">
        <v>87</v>
      </c>
      <c r="C18" s="17" t="s">
        <v>88</v>
      </c>
      <c r="D18" s="49">
        <f>SUM(D19:D22)</f>
        <v>0</v>
      </c>
      <c r="E18" s="11"/>
      <c r="F18" s="18">
        <v>100.7</v>
      </c>
      <c r="G18" s="18" t="s">
        <v>346</v>
      </c>
      <c r="H18" s="18" t="s">
        <v>347</v>
      </c>
      <c r="I18" s="41"/>
    </row>
    <row r="19" spans="1:9" x14ac:dyDescent="0.35">
      <c r="A19" s="14">
        <v>30.1</v>
      </c>
      <c r="B19" s="12" t="s">
        <v>89</v>
      </c>
      <c r="C19" s="12" t="s">
        <v>90</v>
      </c>
      <c r="D19" s="51"/>
      <c r="E19" s="11"/>
      <c r="F19" s="19">
        <v>110</v>
      </c>
      <c r="G19" s="19" t="s">
        <v>144</v>
      </c>
      <c r="H19" s="19" t="s">
        <v>145</v>
      </c>
      <c r="I19" s="54">
        <f>SUM(I20:I23)</f>
        <v>0</v>
      </c>
    </row>
    <row r="20" spans="1:9" ht="29" x14ac:dyDescent="0.35">
      <c r="A20" s="14">
        <v>30.2</v>
      </c>
      <c r="B20" s="12" t="s">
        <v>91</v>
      </c>
      <c r="C20" s="12" t="s">
        <v>92</v>
      </c>
      <c r="D20" s="51"/>
      <c r="E20" s="11"/>
      <c r="F20" s="18">
        <v>110.1</v>
      </c>
      <c r="G20" s="18" t="s">
        <v>146</v>
      </c>
      <c r="H20" s="18" t="s">
        <v>147</v>
      </c>
      <c r="I20" s="55"/>
    </row>
    <row r="21" spans="1:9" ht="43.5" x14ac:dyDescent="0.35">
      <c r="A21" s="14">
        <v>30.3</v>
      </c>
      <c r="B21" s="12" t="s">
        <v>93</v>
      </c>
      <c r="C21" s="12" t="s">
        <v>94</v>
      </c>
      <c r="D21" s="51"/>
      <c r="E21" s="11"/>
      <c r="F21" s="18">
        <v>110.2</v>
      </c>
      <c r="G21" s="18" t="s">
        <v>148</v>
      </c>
      <c r="H21" s="18" t="s">
        <v>149</v>
      </c>
      <c r="I21" s="41"/>
    </row>
    <row r="22" spans="1:9" ht="29" x14ac:dyDescent="0.35">
      <c r="A22" s="14">
        <v>30.4</v>
      </c>
      <c r="B22" s="12" t="s">
        <v>95</v>
      </c>
      <c r="C22" s="12" t="s">
        <v>96</v>
      </c>
      <c r="D22" s="51"/>
      <c r="E22" s="11"/>
      <c r="F22" s="18">
        <v>110.3</v>
      </c>
      <c r="G22" s="18" t="s">
        <v>150</v>
      </c>
      <c r="H22" s="18" t="s">
        <v>151</v>
      </c>
      <c r="I22" s="41"/>
    </row>
    <row r="23" spans="1:9" ht="29" x14ac:dyDescent="0.35">
      <c r="A23" s="16">
        <v>40</v>
      </c>
      <c r="B23" s="17" t="s">
        <v>97</v>
      </c>
      <c r="C23" s="17" t="s">
        <v>98</v>
      </c>
      <c r="D23" s="49">
        <f>SUM(D24:D25)</f>
        <v>0</v>
      </c>
      <c r="E23" s="11"/>
      <c r="F23" s="18">
        <v>110.4</v>
      </c>
      <c r="G23" s="18" t="s">
        <v>152</v>
      </c>
      <c r="H23" s="18" t="s">
        <v>153</v>
      </c>
      <c r="I23" s="41"/>
    </row>
    <row r="24" spans="1:9" ht="26" x14ac:dyDescent="0.35">
      <c r="A24" s="14">
        <v>40.1</v>
      </c>
      <c r="B24" s="15" t="s">
        <v>68</v>
      </c>
      <c r="C24" s="12" t="s">
        <v>187</v>
      </c>
      <c r="D24" s="51"/>
      <c r="E24" s="11"/>
      <c r="F24" s="19">
        <v>120</v>
      </c>
      <c r="G24" s="19" t="s">
        <v>154</v>
      </c>
      <c r="H24" s="19" t="s">
        <v>155</v>
      </c>
      <c r="I24" s="33"/>
    </row>
    <row r="25" spans="1:9" ht="26" x14ac:dyDescent="0.35">
      <c r="A25" s="14">
        <v>40.200000000000003</v>
      </c>
      <c r="B25" s="15" t="s">
        <v>69</v>
      </c>
      <c r="C25" s="12" t="s">
        <v>188</v>
      </c>
      <c r="D25" s="51"/>
      <c r="E25" s="10"/>
      <c r="F25" s="19">
        <v>130</v>
      </c>
      <c r="G25" s="19" t="s">
        <v>156</v>
      </c>
      <c r="H25" s="19" t="s">
        <v>157</v>
      </c>
      <c r="I25" s="54">
        <f>SUM(I26:I27)</f>
        <v>0</v>
      </c>
    </row>
    <row r="26" spans="1:9" x14ac:dyDescent="0.35">
      <c r="A26" s="16">
        <v>50</v>
      </c>
      <c r="B26" s="17" t="s">
        <v>99</v>
      </c>
      <c r="C26" s="17" t="s">
        <v>100</v>
      </c>
      <c r="D26" s="50">
        <v>0</v>
      </c>
      <c r="E26" s="10"/>
      <c r="F26" s="18">
        <v>130.1</v>
      </c>
      <c r="G26" s="18" t="s">
        <v>158</v>
      </c>
      <c r="H26" s="18" t="s">
        <v>159</v>
      </c>
      <c r="I26" s="41"/>
    </row>
    <row r="27" spans="1:9" ht="29" x14ac:dyDescent="0.35">
      <c r="A27" s="16">
        <v>60</v>
      </c>
      <c r="B27" s="17" t="s">
        <v>101</v>
      </c>
      <c r="C27" s="17" t="s">
        <v>102</v>
      </c>
      <c r="D27" s="49">
        <f>SUM(D28:D31)</f>
        <v>0</v>
      </c>
      <c r="E27" s="11"/>
      <c r="F27" s="18">
        <v>130.19999999999999</v>
      </c>
      <c r="G27" s="18" t="s">
        <v>160</v>
      </c>
      <c r="H27" s="18" t="s">
        <v>161</v>
      </c>
      <c r="I27" s="41"/>
    </row>
    <row r="28" spans="1:9" x14ac:dyDescent="0.35">
      <c r="A28" s="14">
        <v>60.1</v>
      </c>
      <c r="B28" s="15" t="s">
        <v>70</v>
      </c>
      <c r="C28" s="12" t="s">
        <v>185</v>
      </c>
      <c r="D28" s="51"/>
      <c r="E28" s="11"/>
      <c r="F28" s="19">
        <v>140</v>
      </c>
      <c r="G28" s="19" t="s">
        <v>162</v>
      </c>
      <c r="H28" s="19" t="s">
        <v>163</v>
      </c>
      <c r="I28" s="54">
        <f>SUM(I29:I30)</f>
        <v>0</v>
      </c>
    </row>
    <row r="29" spans="1:9" x14ac:dyDescent="0.35">
      <c r="A29" s="14">
        <v>60.2</v>
      </c>
      <c r="B29" s="15" t="s">
        <v>71</v>
      </c>
      <c r="C29" s="12" t="s">
        <v>186</v>
      </c>
      <c r="D29" s="51"/>
      <c r="E29" s="10"/>
      <c r="F29" s="18">
        <v>140.1</v>
      </c>
      <c r="G29" s="18" t="s">
        <v>164</v>
      </c>
      <c r="H29" s="18" t="s">
        <v>58</v>
      </c>
      <c r="I29" s="41"/>
    </row>
    <row r="30" spans="1:9" x14ac:dyDescent="0.35">
      <c r="A30" s="14">
        <v>60.3</v>
      </c>
      <c r="B30" s="12" t="s">
        <v>103</v>
      </c>
      <c r="C30" s="13" t="s">
        <v>104</v>
      </c>
      <c r="D30" s="51"/>
      <c r="E30" s="10"/>
      <c r="F30" s="18">
        <v>140.19999999999999</v>
      </c>
      <c r="G30" s="18" t="s">
        <v>162</v>
      </c>
      <c r="H30" s="18" t="s">
        <v>165</v>
      </c>
      <c r="I30" s="41"/>
    </row>
    <row r="31" spans="1:9" ht="25" x14ac:dyDescent="0.35">
      <c r="A31" s="14">
        <v>60.4</v>
      </c>
      <c r="B31" s="12" t="s">
        <v>105</v>
      </c>
      <c r="C31" s="13" t="s">
        <v>106</v>
      </c>
      <c r="D31" s="52"/>
      <c r="E31" s="10"/>
      <c r="F31" s="19">
        <v>150</v>
      </c>
      <c r="G31" s="19" t="s">
        <v>166</v>
      </c>
      <c r="H31" s="19" t="s">
        <v>167</v>
      </c>
      <c r="I31" s="21">
        <f>SUM(I32:I39)</f>
        <v>0</v>
      </c>
    </row>
    <row r="32" spans="1:9" x14ac:dyDescent="0.35">
      <c r="A32" s="16">
        <v>70</v>
      </c>
      <c r="B32" s="17" t="s">
        <v>107</v>
      </c>
      <c r="C32" s="17" t="s">
        <v>108</v>
      </c>
      <c r="D32" s="53"/>
      <c r="E32" s="11"/>
      <c r="F32" s="18">
        <v>150.1</v>
      </c>
      <c r="G32" s="18" t="s">
        <v>168</v>
      </c>
      <c r="H32" s="18" t="s">
        <v>169</v>
      </c>
      <c r="I32" s="41"/>
    </row>
    <row r="33" spans="1:9" ht="29" x14ac:dyDescent="0.35">
      <c r="A33" s="16">
        <v>160</v>
      </c>
      <c r="B33" s="17" t="s">
        <v>109</v>
      </c>
      <c r="C33" s="17" t="s">
        <v>110</v>
      </c>
      <c r="D33" s="49">
        <f>SUM(D34:D38)</f>
        <v>0</v>
      </c>
      <c r="E33" s="10"/>
      <c r="F33" s="18">
        <v>150.19999999999999</v>
      </c>
      <c r="G33" s="18" t="s">
        <v>170</v>
      </c>
      <c r="H33" s="18" t="s">
        <v>171</v>
      </c>
      <c r="I33" s="41"/>
    </row>
    <row r="34" spans="1:9" x14ac:dyDescent="0.35">
      <c r="A34" s="14">
        <v>160.1</v>
      </c>
      <c r="B34" s="12" t="s">
        <v>111</v>
      </c>
      <c r="C34" s="13" t="s">
        <v>112</v>
      </c>
      <c r="D34" s="51"/>
      <c r="F34" s="18">
        <v>150.30000000000001</v>
      </c>
      <c r="G34" s="18" t="s">
        <v>172</v>
      </c>
      <c r="H34" s="18" t="s">
        <v>173</v>
      </c>
      <c r="I34" s="41"/>
    </row>
    <row r="35" spans="1:9" ht="29" x14ac:dyDescent="0.35">
      <c r="A35" s="14">
        <v>160.19999999999999</v>
      </c>
      <c r="B35" s="12" t="s">
        <v>113</v>
      </c>
      <c r="C35" s="13" t="s">
        <v>114</v>
      </c>
      <c r="D35" s="52"/>
      <c r="F35" s="18">
        <v>150.4</v>
      </c>
      <c r="G35" s="18" t="s">
        <v>174</v>
      </c>
      <c r="H35" s="18" t="s">
        <v>175</v>
      </c>
      <c r="I35" s="41"/>
    </row>
    <row r="36" spans="1:9" x14ac:dyDescent="0.35">
      <c r="A36" s="14">
        <v>160.30000000000001</v>
      </c>
      <c r="B36" s="12" t="s">
        <v>115</v>
      </c>
      <c r="C36" s="13" t="s">
        <v>116</v>
      </c>
      <c r="D36" s="52"/>
      <c r="F36" s="18">
        <v>150.5</v>
      </c>
      <c r="G36" s="18" t="s">
        <v>176</v>
      </c>
      <c r="H36" s="18" t="s">
        <v>177</v>
      </c>
      <c r="I36" s="41"/>
    </row>
    <row r="37" spans="1:9" x14ac:dyDescent="0.35">
      <c r="A37" s="14">
        <v>160.4</v>
      </c>
      <c r="B37" s="12" t="s">
        <v>117</v>
      </c>
      <c r="C37" s="12" t="s">
        <v>118</v>
      </c>
      <c r="D37" s="52"/>
      <c r="F37" s="18">
        <v>150.6</v>
      </c>
      <c r="G37" s="18" t="s">
        <v>178</v>
      </c>
      <c r="H37" s="18" t="s">
        <v>179</v>
      </c>
      <c r="I37" s="41"/>
    </row>
    <row r="38" spans="1:9" x14ac:dyDescent="0.35">
      <c r="A38" s="14">
        <v>160.5</v>
      </c>
      <c r="B38" s="12" t="s">
        <v>119</v>
      </c>
      <c r="C38" s="13" t="s">
        <v>120</v>
      </c>
      <c r="D38" s="51"/>
      <c r="F38" s="18">
        <v>150.69999999999999</v>
      </c>
      <c r="G38" s="18" t="s">
        <v>180</v>
      </c>
      <c r="H38" s="18" t="s">
        <v>181</v>
      </c>
      <c r="I38" s="41"/>
    </row>
    <row r="39" spans="1:9" ht="29" x14ac:dyDescent="0.35">
      <c r="F39" s="18">
        <v>150.80000000000001</v>
      </c>
      <c r="G39" s="18" t="s">
        <v>182</v>
      </c>
      <c r="H39" s="18" t="s">
        <v>183</v>
      </c>
      <c r="I39" s="41"/>
    </row>
    <row r="40" spans="1:9" x14ac:dyDescent="0.35">
      <c r="D40" s="9">
        <f>D33+D32+D27+D26+D23+D18+D12+D11</f>
        <v>0</v>
      </c>
      <c r="F40" s="30">
        <f>D40-I40</f>
        <v>0</v>
      </c>
      <c r="G40" s="30"/>
      <c r="H40" s="30"/>
      <c r="I40">
        <f>I31+I28+I25+I24+I19+I11+I6+I5</f>
        <v>0</v>
      </c>
    </row>
    <row r="41" spans="1:9" x14ac:dyDescent="0.35">
      <c r="F41" s="30"/>
      <c r="G41" s="30"/>
      <c r="H41" s="30"/>
    </row>
    <row r="42" spans="1:9" x14ac:dyDescent="0.35">
      <c r="B42" s="18" t="s">
        <v>382</v>
      </c>
      <c r="C42" s="18" t="s">
        <v>716</v>
      </c>
      <c r="F42" s="30"/>
      <c r="G42" s="30"/>
      <c r="H42" s="30"/>
    </row>
    <row r="43" spans="1:9" x14ac:dyDescent="0.35">
      <c r="B43" s="1" t="s">
        <v>74</v>
      </c>
      <c r="C43" s="41"/>
      <c r="F43" s="30"/>
      <c r="G43" s="30"/>
      <c r="H43" s="30"/>
    </row>
    <row r="44" spans="1:9" x14ac:dyDescent="0.35">
      <c r="B44" s="1" t="s">
        <v>87</v>
      </c>
      <c r="C44" s="41"/>
      <c r="F44" s="30"/>
      <c r="G44" s="30"/>
      <c r="H44" s="30"/>
    </row>
    <row r="45" spans="1:9" x14ac:dyDescent="0.35">
      <c r="B45" s="1" t="s">
        <v>383</v>
      </c>
      <c r="C45" s="41"/>
      <c r="F45" s="30"/>
      <c r="G45" s="30"/>
      <c r="H45" s="30"/>
    </row>
    <row r="46" spans="1:9" x14ac:dyDescent="0.35">
      <c r="B46" s="1" t="s">
        <v>124</v>
      </c>
      <c r="C46" s="41"/>
      <c r="F46" s="30"/>
      <c r="G46" s="30"/>
      <c r="H46" s="30"/>
    </row>
    <row r="47" spans="1:9" x14ac:dyDescent="0.35">
      <c r="B47" s="1" t="s">
        <v>134</v>
      </c>
      <c r="C47" s="41"/>
      <c r="F47" s="30"/>
      <c r="G47" s="30"/>
      <c r="H47" s="30"/>
    </row>
    <row r="48" spans="1:9" x14ac:dyDescent="0.35">
      <c r="B48" s="1" t="s">
        <v>144</v>
      </c>
      <c r="C48" s="41"/>
      <c r="F48" s="30"/>
      <c r="G48" s="30"/>
      <c r="H48" s="30"/>
    </row>
    <row r="49" spans="2:8" x14ac:dyDescent="0.35">
      <c r="B49" s="1" t="s">
        <v>237</v>
      </c>
      <c r="C49" s="41"/>
      <c r="F49" s="30"/>
      <c r="G49" s="30"/>
      <c r="H49" s="30"/>
    </row>
    <row r="50" spans="2:8" x14ac:dyDescent="0.35">
      <c r="B50" s="1" t="s">
        <v>397</v>
      </c>
      <c r="C50" s="41"/>
      <c r="F50" s="30"/>
      <c r="G50" s="30"/>
      <c r="H50" s="30"/>
    </row>
    <row r="51" spans="2:8" x14ac:dyDescent="0.35">
      <c r="B51" s="1" t="s">
        <v>398</v>
      </c>
      <c r="C51" s="41"/>
      <c r="F51" s="30"/>
      <c r="G51" s="30"/>
      <c r="H51" s="30"/>
    </row>
    <row r="52" spans="2:8" x14ac:dyDescent="0.35">
      <c r="F52" s="30"/>
      <c r="G52" s="30"/>
      <c r="H52" s="30"/>
    </row>
    <row r="53" spans="2:8" x14ac:dyDescent="0.35">
      <c r="B53" s="1" t="s">
        <v>705</v>
      </c>
      <c r="C53" s="83"/>
      <c r="F53" s="30"/>
      <c r="G53" s="30"/>
      <c r="H53" s="30"/>
    </row>
    <row r="54" spans="2:8" x14ac:dyDescent="0.35">
      <c r="B54" s="1" t="s">
        <v>708</v>
      </c>
      <c r="C54" s="83"/>
      <c r="F54" s="30"/>
      <c r="G54" s="30"/>
      <c r="H54" s="30"/>
    </row>
    <row r="55" spans="2:8" x14ac:dyDescent="0.35">
      <c r="F55" s="30"/>
      <c r="G55" s="30"/>
      <c r="H55" s="30"/>
    </row>
    <row r="56" spans="2:8" x14ac:dyDescent="0.35">
      <c r="B56" s="1" t="s">
        <v>719</v>
      </c>
      <c r="C56" s="24"/>
      <c r="D56" s="83"/>
      <c r="F56" s="30"/>
      <c r="G56" s="30"/>
      <c r="H56" s="30"/>
    </row>
    <row r="57" spans="2:8" x14ac:dyDescent="0.35">
      <c r="B57" s="1" t="s">
        <v>720</v>
      </c>
      <c r="C57" s="24"/>
      <c r="D57" s="83"/>
      <c r="F57" s="30"/>
      <c r="G57" s="30"/>
      <c r="H57" s="30"/>
    </row>
    <row r="58" spans="2:8" x14ac:dyDescent="0.35">
      <c r="B58" t="s">
        <v>721</v>
      </c>
      <c r="D58" s="83"/>
      <c r="F58" s="30"/>
      <c r="G58" s="30"/>
      <c r="H58" s="30"/>
    </row>
    <row r="59" spans="2:8" x14ac:dyDescent="0.35">
      <c r="G59">
        <f>D40-I40</f>
        <v>0</v>
      </c>
    </row>
  </sheetData>
  <customSheetViews>
    <customSheetView guid="{B03DA2A8-6E10-4AC8-B8E9-08273B4719D3}" topLeftCell="A21">
      <selection sqref="A1:D31"/>
      <pageMargins left="0.7" right="0.7" top="0.75" bottom="0.75" header="0.3" footer="0.3"/>
    </customSheetView>
    <customSheetView guid="{AF169707-4E0F-443B-AC54-AEDA2A2EE592}" topLeftCell="D27">
      <selection activeCell="F3" sqref="F3:I38"/>
      <pageMargins left="0.7" right="0.7" top="0.75" bottom="0.75" header="0.3" footer="0.3"/>
    </customSheetView>
    <customSheetView guid="{9C839773-0576-4D5E-B841-6D274CD2DC85}" topLeftCell="G9">
      <selection activeCell="K3" sqref="K3:L12"/>
      <pageMargins left="0.7" right="0.7" top="0.75" bottom="0.75" header="0.3" footer="0.3"/>
    </customSheetView>
    <customSheetView guid="{25DE02B3-1CDA-48F7-89E3-3677026220D5}" topLeftCell="A43">
      <selection activeCell="B42" sqref="B42:G54"/>
      <pageMargins left="0.7" right="0.7" top="0.75" bottom="0.75" header="0.3" footer="0.3"/>
    </customSheetView>
  </customSheetViews>
  <hyperlinks>
    <hyperlink ref="C3" r:id="rId1" xr:uid="{D0388E34-A175-4503-9EAA-32BFD11E03F6}"/>
  </hyperlinks>
  <pageMargins left="0.7" right="0.7" top="0.75" bottom="0.75" header="0.3" footer="0.3"/>
  <pageSetup scale="72" orientation="portrait" horizontalDpi="0" verticalDpi="0" r:id="rId2"/>
  <rowBreaks count="1" manualBreakCount="1">
    <brk id="40" max="16383" man="1"/>
  </rowBreaks>
  <colBreaks count="2" manualBreakCount="2">
    <brk id="4" max="44" man="1"/>
    <brk id="9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3592-CFA5-4239-A577-AC09CFB0B1B8}">
  <dimension ref="B1:C30"/>
  <sheetViews>
    <sheetView workbookViewId="0">
      <selection activeCell="B3" sqref="B3"/>
    </sheetView>
  </sheetViews>
  <sheetFormatPr defaultRowHeight="14.5" x14ac:dyDescent="0.35"/>
  <cols>
    <col min="1" max="1" width="19.08984375" customWidth="1"/>
    <col min="2" max="2" width="37.08984375" bestFit="1" customWidth="1"/>
    <col min="3" max="3" width="27.08984375" customWidth="1"/>
  </cols>
  <sheetData>
    <row r="1" spans="2:3" x14ac:dyDescent="0.35">
      <c r="B1" s="9" t="str">
        <f>'Input-SCAN'!A4</f>
        <v>संस्थाको नाम</v>
      </c>
      <c r="C1" t="str">
        <f>'Input-TB'!C1</f>
        <v>ABC SACCOS</v>
      </c>
    </row>
    <row r="2" spans="2:3" x14ac:dyDescent="0.35">
      <c r="B2" s="9" t="str">
        <f>'Output-Risk Profile'!B4</f>
        <v xml:space="preserve">जिल्ला </v>
      </c>
      <c r="C2" t="str">
        <f>'Input-TB'!C2</f>
        <v>ABC SACCOS</v>
      </c>
    </row>
    <row r="3" spans="2:3" x14ac:dyDescent="0.35">
      <c r="B3" s="9" t="str">
        <f>'Output-Risk Profile'!E4</f>
        <v xml:space="preserve">मिति </v>
      </c>
      <c r="C3" t="str">
        <f>'Input-TB'!C9</f>
        <v>2082-03-32</v>
      </c>
    </row>
    <row r="4" spans="2:3" x14ac:dyDescent="0.35">
      <c r="B4" s="223" t="s">
        <v>724</v>
      </c>
      <c r="C4" s="224"/>
    </row>
    <row r="5" spans="2:3" x14ac:dyDescent="0.35">
      <c r="B5" s="1" t="s">
        <v>725</v>
      </c>
      <c r="C5" s="1">
        <f>'Output-Balance Sheet'!D5</f>
        <v>0</v>
      </c>
    </row>
    <row r="6" spans="2:3" x14ac:dyDescent="0.35">
      <c r="B6" s="1" t="s">
        <v>726</v>
      </c>
      <c r="C6" s="1">
        <f>'Output-Balance Sheet'!D7</f>
        <v>0</v>
      </c>
    </row>
    <row r="7" spans="2:3" x14ac:dyDescent="0.35">
      <c r="B7" s="1" t="s">
        <v>727</v>
      </c>
      <c r="C7" s="1">
        <f>'Output-Balance Sheet'!D8</f>
        <v>0</v>
      </c>
    </row>
    <row r="8" spans="2:3" x14ac:dyDescent="0.35">
      <c r="B8" s="1" t="s">
        <v>728</v>
      </c>
      <c r="C8" s="21">
        <f>SUM(C5:C7)</f>
        <v>0</v>
      </c>
    </row>
    <row r="9" spans="2:3" x14ac:dyDescent="0.35">
      <c r="B9" s="1" t="s">
        <v>729</v>
      </c>
      <c r="C9" s="21">
        <f>'Output-Balance Sheet'!D15</f>
        <v>0</v>
      </c>
    </row>
    <row r="10" spans="2:3" x14ac:dyDescent="0.35">
      <c r="B10" s="1" t="s">
        <v>730</v>
      </c>
      <c r="C10" s="21">
        <f>'Output-Balance Sheet'!D14</f>
        <v>0</v>
      </c>
    </row>
    <row r="11" spans="2:3" x14ac:dyDescent="0.35">
      <c r="B11" s="1" t="s">
        <v>722</v>
      </c>
      <c r="C11" s="21">
        <f>C10*35%</f>
        <v>0</v>
      </c>
    </row>
    <row r="12" spans="2:3" x14ac:dyDescent="0.35">
      <c r="B12" s="1" t="s">
        <v>723</v>
      </c>
      <c r="C12" s="1">
        <f>IF(C11&gt;C8,(C11-C8),0)</f>
        <v>0</v>
      </c>
    </row>
    <row r="13" spans="2:3" x14ac:dyDescent="0.35">
      <c r="B13" s="1" t="s">
        <v>733</v>
      </c>
      <c r="C13" s="1">
        <f>'Output-Balance Sheet'!D19</f>
        <v>0</v>
      </c>
    </row>
    <row r="14" spans="2:3" x14ac:dyDescent="0.35">
      <c r="B14" s="1" t="s">
        <v>731</v>
      </c>
      <c r="C14" s="1">
        <f>C8+C9</f>
        <v>0</v>
      </c>
    </row>
    <row r="15" spans="2:3" ht="43.5" x14ac:dyDescent="0.35">
      <c r="B15" s="24" t="s">
        <v>732</v>
      </c>
      <c r="C15" s="1">
        <f>C8+C10+C13+C12</f>
        <v>0</v>
      </c>
    </row>
    <row r="16" spans="2:3" x14ac:dyDescent="0.35">
      <c r="B16" s="1" t="s">
        <v>724</v>
      </c>
      <c r="C16" s="1" t="e">
        <f>ROUND(C14/C15*100,2)</f>
        <v>#DIV/0!</v>
      </c>
    </row>
    <row r="18" spans="2:3" x14ac:dyDescent="0.35">
      <c r="B18" s="223" t="s">
        <v>735</v>
      </c>
      <c r="C18" s="224"/>
    </row>
    <row r="19" spans="2:3" x14ac:dyDescent="0.35">
      <c r="B19" s="1" t="s">
        <v>736</v>
      </c>
      <c r="C19" s="1">
        <f>'Input-TB'!C50</f>
        <v>0</v>
      </c>
    </row>
    <row r="20" spans="2:3" x14ac:dyDescent="0.35">
      <c r="B20" s="1" t="s">
        <v>737</v>
      </c>
      <c r="C20" s="1">
        <f>'Input-TB'!C51</f>
        <v>0</v>
      </c>
    </row>
    <row r="21" spans="2:3" x14ac:dyDescent="0.35">
      <c r="B21" s="1" t="s">
        <v>739</v>
      </c>
      <c r="C21" s="1">
        <f>'Input-Additional'!B10</f>
        <v>0</v>
      </c>
    </row>
    <row r="22" spans="2:3" x14ac:dyDescent="0.35">
      <c r="B22" s="1" t="s">
        <v>740</v>
      </c>
      <c r="C22" s="1">
        <f>'Input-Additional'!B12</f>
        <v>0</v>
      </c>
    </row>
    <row r="23" spans="2:3" x14ac:dyDescent="0.35">
      <c r="B23" s="1" t="s">
        <v>741</v>
      </c>
      <c r="C23" s="1">
        <f>C21+C22</f>
        <v>0</v>
      </c>
    </row>
    <row r="24" spans="2:3" x14ac:dyDescent="0.35">
      <c r="B24" s="1" t="s">
        <v>742</v>
      </c>
      <c r="C24" s="1">
        <f>(C19+C20)/2*6</f>
        <v>0</v>
      </c>
    </row>
    <row r="25" spans="2:3" x14ac:dyDescent="0.35">
      <c r="B25" s="1" t="s">
        <v>743</v>
      </c>
      <c r="C25" s="1" t="e">
        <f>ROUND(C23/C24*100,2)</f>
        <v>#DIV/0!</v>
      </c>
    </row>
    <row r="27" spans="2:3" x14ac:dyDescent="0.35">
      <c r="B27" s="222" t="s">
        <v>744</v>
      </c>
      <c r="C27" s="222"/>
    </row>
    <row r="28" spans="2:3" x14ac:dyDescent="0.35">
      <c r="B28" s="1" t="s">
        <v>745</v>
      </c>
      <c r="C28" s="1">
        <f>'Input-Additional'!B14</f>
        <v>0</v>
      </c>
    </row>
    <row r="29" spans="2:3" ht="29" x14ac:dyDescent="0.35">
      <c r="B29" s="24" t="s">
        <v>746</v>
      </c>
      <c r="C29" s="1">
        <f>'Input-Additional'!B15</f>
        <v>0</v>
      </c>
    </row>
    <row r="30" spans="2:3" x14ac:dyDescent="0.35">
      <c r="B30" s="1" t="s">
        <v>744</v>
      </c>
      <c r="C30" s="1" t="e">
        <f>ROUND((C28+C29)/((C19+C20)/2)*100,2)</f>
        <v>#DIV/0!</v>
      </c>
    </row>
  </sheetData>
  <mergeCells count="3">
    <mergeCell ref="B27:C27"/>
    <mergeCell ref="B18:C18"/>
    <mergeCell ref="B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34182-5421-49EE-865E-80DFB8C43437}">
  <dimension ref="A4:I21"/>
  <sheetViews>
    <sheetView view="pageBreakPreview" topLeftCell="A11" zoomScale="104" zoomScaleNormal="100" zoomScaleSheetLayoutView="104" workbookViewId="0">
      <selection activeCell="C19" sqref="C19"/>
    </sheetView>
  </sheetViews>
  <sheetFormatPr defaultRowHeight="14.5" x14ac:dyDescent="0.35"/>
  <cols>
    <col min="1" max="1" width="30.7265625" style="9" customWidth="1"/>
    <col min="2" max="2" width="31.1796875" style="9" customWidth="1"/>
    <col min="3" max="3" width="21.453125" style="9" customWidth="1"/>
    <col min="4" max="4" width="10.26953125" style="9" customWidth="1"/>
    <col min="5" max="5" width="17" style="9" customWidth="1"/>
    <col min="6" max="6" width="11.453125" style="9" customWidth="1"/>
    <col min="7" max="7" width="17.81640625" customWidth="1"/>
  </cols>
  <sheetData>
    <row r="4" spans="1:9" x14ac:dyDescent="0.35">
      <c r="A4" s="164" t="s">
        <v>600</v>
      </c>
      <c r="B4" s="164"/>
      <c r="C4" s="164"/>
      <c r="D4" s="164"/>
      <c r="E4" s="164"/>
      <c r="F4" s="164"/>
    </row>
    <row r="5" spans="1:9" x14ac:dyDescent="0.35">
      <c r="A5" s="115"/>
      <c r="B5" s="115"/>
      <c r="C5" s="115"/>
      <c r="D5" s="115"/>
      <c r="E5" s="115"/>
      <c r="F5" s="115"/>
    </row>
    <row r="6" spans="1:9" x14ac:dyDescent="0.35">
      <c r="A6" s="115"/>
      <c r="B6" s="115"/>
      <c r="C6" s="115"/>
      <c r="D6" s="115"/>
      <c r="E6" s="115"/>
      <c r="F6" s="115"/>
    </row>
    <row r="7" spans="1:9" x14ac:dyDescent="0.35">
      <c r="A7" s="115"/>
      <c r="B7" s="115"/>
      <c r="C7" s="115"/>
      <c r="D7" s="115"/>
      <c r="E7" s="115"/>
      <c r="F7" s="115"/>
    </row>
    <row r="8" spans="1:9" ht="27" customHeight="1" x14ac:dyDescent="0.35">
      <c r="A8" s="24"/>
      <c r="B8" s="24"/>
      <c r="C8" s="24" t="s">
        <v>223</v>
      </c>
      <c r="D8" s="24" t="s">
        <v>228</v>
      </c>
      <c r="E8" s="24" t="s">
        <v>601</v>
      </c>
      <c r="F8" s="24" t="s">
        <v>602</v>
      </c>
      <c r="H8" t="s">
        <v>224</v>
      </c>
    </row>
    <row r="9" spans="1:9" ht="29" x14ac:dyDescent="0.35">
      <c r="A9" s="18" t="s">
        <v>146</v>
      </c>
      <c r="B9" s="18" t="s">
        <v>147</v>
      </c>
      <c r="C9" s="159">
        <f>'Input-TB'!I20</f>
        <v>0</v>
      </c>
      <c r="D9" s="27">
        <v>0.01</v>
      </c>
      <c r="E9" s="24">
        <f>C9*D9</f>
        <v>0</v>
      </c>
      <c r="F9" s="24">
        <f>IF(E9&lt;H10,E9,H10)</f>
        <v>0</v>
      </c>
      <c r="H9">
        <f>H10-F9</f>
        <v>0</v>
      </c>
    </row>
    <row r="10" spans="1:9" x14ac:dyDescent="0.35">
      <c r="A10" s="24" t="s">
        <v>207</v>
      </c>
      <c r="B10" s="18" t="s">
        <v>208</v>
      </c>
      <c r="C10" s="83"/>
      <c r="D10" s="27">
        <v>0.01</v>
      </c>
      <c r="E10" s="24">
        <f>C10*D10</f>
        <v>0</v>
      </c>
      <c r="F10" s="24">
        <f>IF(E10&lt;H11,E10,H11)</f>
        <v>0</v>
      </c>
      <c r="H10">
        <f>H11-F10</f>
        <v>0</v>
      </c>
    </row>
    <row r="11" spans="1:9" x14ac:dyDescent="0.35">
      <c r="A11" s="24" t="s">
        <v>209</v>
      </c>
      <c r="B11" s="18" t="s">
        <v>210</v>
      </c>
      <c r="C11" s="83"/>
      <c r="D11" s="27">
        <v>0.01</v>
      </c>
      <c r="E11" s="24">
        <f>C11*D11</f>
        <v>0</v>
      </c>
      <c r="F11" s="24">
        <f>IF(E11&lt;H13,E11,H13)</f>
        <v>0</v>
      </c>
      <c r="H11">
        <f>H13-F11</f>
        <v>0</v>
      </c>
    </row>
    <row r="12" spans="1:9" x14ac:dyDescent="0.35">
      <c r="A12" s="26" t="s">
        <v>211</v>
      </c>
      <c r="B12" s="19" t="s">
        <v>212</v>
      </c>
      <c r="C12" s="160">
        <f>SUM(C9:C11)</f>
        <v>0</v>
      </c>
      <c r="D12" s="24"/>
      <c r="E12" s="26">
        <f>SUM(E9:E11)</f>
        <v>0</v>
      </c>
      <c r="F12" s="24"/>
    </row>
    <row r="13" spans="1:9" ht="29" x14ac:dyDescent="0.35">
      <c r="A13" s="24" t="s">
        <v>216</v>
      </c>
      <c r="B13" s="18" t="s">
        <v>213</v>
      </c>
      <c r="C13" s="83"/>
      <c r="D13" s="27">
        <v>0.25</v>
      </c>
      <c r="E13" s="24">
        <f>C13*D13</f>
        <v>0</v>
      </c>
      <c r="F13" s="24">
        <f>IF(E13&lt;H14,E13,H14)</f>
        <v>0</v>
      </c>
      <c r="H13">
        <f>H14-F13</f>
        <v>0</v>
      </c>
    </row>
    <row r="14" spans="1:9" ht="29" x14ac:dyDescent="0.35">
      <c r="A14" s="24" t="s">
        <v>214</v>
      </c>
      <c r="B14" s="24" t="s">
        <v>215</v>
      </c>
      <c r="C14" s="83"/>
      <c r="D14" s="27">
        <v>0.5</v>
      </c>
      <c r="E14" s="24">
        <f>C14*D14</f>
        <v>0</v>
      </c>
      <c r="F14" s="24">
        <f>IF(E14&lt;H15,E14,H15)</f>
        <v>0</v>
      </c>
      <c r="H14">
        <f>H15-F14</f>
        <v>0</v>
      </c>
    </row>
    <row r="15" spans="1:9" ht="29" x14ac:dyDescent="0.35">
      <c r="A15" s="24" t="s">
        <v>217</v>
      </c>
      <c r="B15" s="24" t="s">
        <v>218</v>
      </c>
      <c r="C15" s="83"/>
      <c r="D15" s="27">
        <v>1</v>
      </c>
      <c r="E15" s="24">
        <f>C15*D15</f>
        <v>0</v>
      </c>
      <c r="F15" s="24">
        <f>IF(E15&lt;H16,E15,H16)</f>
        <v>0</v>
      </c>
      <c r="H15">
        <f>H16-F15</f>
        <v>0</v>
      </c>
      <c r="I15" t="s">
        <v>225</v>
      </c>
    </row>
    <row r="16" spans="1:9" x14ac:dyDescent="0.35">
      <c r="A16" s="24" t="s">
        <v>152</v>
      </c>
      <c r="B16" s="24" t="s">
        <v>219</v>
      </c>
      <c r="C16" s="83"/>
      <c r="D16" s="27">
        <v>1</v>
      </c>
      <c r="E16" s="24">
        <f>C16*D16</f>
        <v>0</v>
      </c>
      <c r="F16" s="24">
        <f>IF(E16&lt;F19,E16,F19)</f>
        <v>0</v>
      </c>
      <c r="H16">
        <f>F19-F16</f>
        <v>0</v>
      </c>
      <c r="I16" t="s">
        <v>225</v>
      </c>
    </row>
    <row r="17" spans="1:6" x14ac:dyDescent="0.35">
      <c r="A17" s="26" t="s">
        <v>220</v>
      </c>
      <c r="B17" s="26" t="s">
        <v>221</v>
      </c>
      <c r="C17" s="160">
        <f>SUM(C13:C16)</f>
        <v>0</v>
      </c>
      <c r="D17" s="24"/>
      <c r="E17" s="26">
        <f>SUM(E13:E16)</f>
        <v>0</v>
      </c>
      <c r="F17" s="24"/>
    </row>
    <row r="18" spans="1:6" ht="29" x14ac:dyDescent="0.35">
      <c r="A18" s="26" t="s">
        <v>234</v>
      </c>
      <c r="B18" s="26" t="s">
        <v>235</v>
      </c>
      <c r="C18" s="160"/>
      <c r="D18" s="159"/>
      <c r="E18" s="160">
        <f>E12+E17</f>
        <v>0</v>
      </c>
      <c r="F18" s="159"/>
    </row>
    <row r="19" spans="1:6" x14ac:dyDescent="0.35">
      <c r="A19" s="24" t="s">
        <v>222</v>
      </c>
      <c r="B19" s="24" t="s">
        <v>186</v>
      </c>
      <c r="C19" s="159"/>
      <c r="D19" s="159"/>
      <c r="E19" s="159"/>
      <c r="F19" s="159">
        <f>'Input-TB'!D29</f>
        <v>0</v>
      </c>
    </row>
    <row r="21" spans="1:6" x14ac:dyDescent="0.35">
      <c r="A21" s="25" t="s">
        <v>226</v>
      </c>
      <c r="B21" s="25" t="s">
        <v>227</v>
      </c>
      <c r="C21" s="25"/>
      <c r="D21" s="25"/>
      <c r="E21" s="25"/>
      <c r="F21" s="25">
        <f>F19-E18</f>
        <v>0</v>
      </c>
    </row>
  </sheetData>
  <mergeCells count="1">
    <mergeCell ref="A4:F4"/>
  </mergeCell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AE0AC-A1A6-4727-9C14-D5B47D4D60D0}">
  <dimension ref="A1:B36"/>
  <sheetViews>
    <sheetView view="pageBreakPreview" zoomScale="98" zoomScaleNormal="100" zoomScaleSheetLayoutView="98" workbookViewId="0">
      <selection activeCell="B1" sqref="B1"/>
    </sheetView>
  </sheetViews>
  <sheetFormatPr defaultRowHeight="14.5" x14ac:dyDescent="0.35"/>
  <cols>
    <col min="1" max="1" width="62.26953125" style="9" customWidth="1"/>
    <col min="2" max="2" width="13.26953125" customWidth="1"/>
    <col min="4" max="4" width="40.08984375" customWidth="1"/>
    <col min="5" max="5" width="25.90625" customWidth="1"/>
  </cols>
  <sheetData>
    <row r="1" spans="1:2" x14ac:dyDescent="0.35">
      <c r="B1" s="9"/>
    </row>
    <row r="2" spans="1:2" x14ac:dyDescent="0.35">
      <c r="A2" s="166" t="s">
        <v>25</v>
      </c>
      <c r="B2" s="166"/>
    </row>
    <row r="3" spans="1:2" x14ac:dyDescent="0.35">
      <c r="A3" s="24" t="s">
        <v>26</v>
      </c>
      <c r="B3" s="41"/>
    </row>
    <row r="4" spans="1:2" x14ac:dyDescent="0.35">
      <c r="A4" s="24" t="s">
        <v>27</v>
      </c>
      <c r="B4" s="41"/>
    </row>
    <row r="5" spans="1:2" x14ac:dyDescent="0.35">
      <c r="A5" s="24" t="s">
        <v>28</v>
      </c>
      <c r="B5" s="161" t="e">
        <f>ROUND(B4/B3*100,2)</f>
        <v>#DIV/0!</v>
      </c>
    </row>
    <row r="6" spans="1:2" x14ac:dyDescent="0.35">
      <c r="B6" s="9"/>
    </row>
    <row r="7" spans="1:2" x14ac:dyDescent="0.35">
      <c r="B7" s="9"/>
    </row>
    <row r="8" spans="1:2" x14ac:dyDescent="0.35">
      <c r="A8" s="165" t="s">
        <v>519</v>
      </c>
      <c r="B8" s="165"/>
    </row>
    <row r="9" spans="1:2" x14ac:dyDescent="0.35">
      <c r="A9" s="24" t="s">
        <v>26</v>
      </c>
      <c r="B9" s="41"/>
    </row>
    <row r="10" spans="1:2" x14ac:dyDescent="0.35">
      <c r="A10" s="24" t="s">
        <v>738</v>
      </c>
      <c r="B10" s="41"/>
    </row>
    <row r="11" spans="1:2" x14ac:dyDescent="0.35">
      <c r="A11" s="24" t="s">
        <v>520</v>
      </c>
      <c r="B11" s="161" t="e">
        <f>ROUND(B10/B9*100,2)</f>
        <v>#DIV/0!</v>
      </c>
    </row>
    <row r="12" spans="1:2" x14ac:dyDescent="0.35">
      <c r="A12" s="24" t="s">
        <v>734</v>
      </c>
      <c r="B12" s="41"/>
    </row>
    <row r="14" spans="1:2" ht="29" x14ac:dyDescent="0.35">
      <c r="A14" s="9" t="s">
        <v>747</v>
      </c>
      <c r="B14" s="41"/>
    </row>
    <row r="15" spans="1:2" ht="43.5" x14ac:dyDescent="0.35">
      <c r="A15" s="9" t="s">
        <v>748</v>
      </c>
      <c r="B15" s="41"/>
    </row>
    <row r="17" spans="1:2" x14ac:dyDescent="0.35">
      <c r="A17" s="157" t="s">
        <v>509</v>
      </c>
      <c r="B17" s="157"/>
    </row>
    <row r="18" spans="1:2" ht="29" x14ac:dyDescent="0.35">
      <c r="A18" s="24" t="s">
        <v>605</v>
      </c>
      <c r="B18" s="83"/>
    </row>
    <row r="19" spans="1:2" ht="29" x14ac:dyDescent="0.35">
      <c r="A19" s="24" t="s">
        <v>606</v>
      </c>
      <c r="B19" s="83"/>
    </row>
    <row r="20" spans="1:2" ht="29" x14ac:dyDescent="0.35">
      <c r="A20" s="24" t="s">
        <v>607</v>
      </c>
      <c r="B20" s="159"/>
    </row>
    <row r="21" spans="1:2" x14ac:dyDescent="0.35">
      <c r="A21" s="24" t="s">
        <v>510</v>
      </c>
      <c r="B21" s="24" t="e">
        <f>ROUND(B19/'Output-Balance Sheet'!D43*100,2)</f>
        <v>#DIV/0!</v>
      </c>
    </row>
    <row r="23" spans="1:2" x14ac:dyDescent="0.35">
      <c r="A23" s="24" t="s">
        <v>385</v>
      </c>
      <c r="B23" s="1" t="s">
        <v>594</v>
      </c>
    </row>
    <row r="24" spans="1:2" x14ac:dyDescent="0.35">
      <c r="A24" s="24" t="s">
        <v>386</v>
      </c>
      <c r="B24" s="41"/>
    </row>
    <row r="25" spans="1:2" x14ac:dyDescent="0.35">
      <c r="A25" s="24" t="s">
        <v>388</v>
      </c>
      <c r="B25" s="41">
        <f>'Input-TB'!D18</f>
        <v>0</v>
      </c>
    </row>
    <row r="26" spans="1:2" x14ac:dyDescent="0.35">
      <c r="A26" s="24" t="s">
        <v>122</v>
      </c>
      <c r="B26" s="41">
        <f>'Input-TB'!I5</f>
        <v>0</v>
      </c>
    </row>
    <row r="27" spans="1:2" x14ac:dyDescent="0.35">
      <c r="A27" s="24" t="s">
        <v>124</v>
      </c>
      <c r="B27" s="41">
        <f>'Input-TB'!I6</f>
        <v>0</v>
      </c>
    </row>
    <row r="28" spans="1:2" x14ac:dyDescent="0.35">
      <c r="A28" s="24" t="s">
        <v>389</v>
      </c>
      <c r="B28" s="1">
        <f>B26+B27</f>
        <v>0</v>
      </c>
    </row>
    <row r="29" spans="1:2" x14ac:dyDescent="0.35">
      <c r="A29" s="24" t="s">
        <v>390</v>
      </c>
      <c r="B29" s="1" t="e">
        <f>ROUND(B28/B25*100,2)</f>
        <v>#DIV/0!</v>
      </c>
    </row>
    <row r="30" spans="1:2" x14ac:dyDescent="0.35">
      <c r="A30" s="24" t="s">
        <v>391</v>
      </c>
      <c r="B30" s="41">
        <f>'Input-TB'!I12+'Input-TB'!I13+'Input-TB'!I14+'Input-TB'!I15</f>
        <v>0</v>
      </c>
    </row>
    <row r="31" spans="1:2" x14ac:dyDescent="0.35">
      <c r="A31" s="24" t="s">
        <v>392</v>
      </c>
      <c r="B31" s="41">
        <f>'Input-TB'!D24</f>
        <v>0</v>
      </c>
    </row>
    <row r="32" spans="1:2" x14ac:dyDescent="0.35">
      <c r="A32" s="24" t="s">
        <v>393</v>
      </c>
      <c r="B32" s="1">
        <f>B30-B31</f>
        <v>0</v>
      </c>
    </row>
    <row r="33" spans="1:2" x14ac:dyDescent="0.35">
      <c r="A33" s="24" t="s">
        <v>394</v>
      </c>
      <c r="B33" s="1">
        <f>B25*5%</f>
        <v>0</v>
      </c>
    </row>
    <row r="34" spans="1:2" x14ac:dyDescent="0.35">
      <c r="A34" s="24" t="s">
        <v>395</v>
      </c>
      <c r="B34" s="1">
        <f>IF(B33&gt;B32,B32,B33)</f>
        <v>0</v>
      </c>
    </row>
    <row r="35" spans="1:2" x14ac:dyDescent="0.35">
      <c r="A35" s="24" t="s">
        <v>596</v>
      </c>
      <c r="B35" s="1" t="e">
        <f>ROUND(B34/B25*100,2)</f>
        <v>#DIV/0!</v>
      </c>
    </row>
    <row r="36" spans="1:2" x14ac:dyDescent="0.35">
      <c r="A36" s="24" t="s">
        <v>396</v>
      </c>
      <c r="B36" s="1" t="e">
        <f>B29+B35</f>
        <v>#DIV/0!</v>
      </c>
    </row>
  </sheetData>
  <mergeCells count="2">
    <mergeCell ref="A8:B8"/>
    <mergeCell ref="A2:B2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DDDA1-AFAB-4D7B-AE62-4077B5562F76}">
  <dimension ref="A1:N148"/>
  <sheetViews>
    <sheetView tabSelected="1" topLeftCell="A106" zoomScale="104" zoomScaleNormal="104" zoomScaleSheetLayoutView="71" workbookViewId="0">
      <selection activeCell="E106" sqref="E106"/>
    </sheetView>
  </sheetViews>
  <sheetFormatPr defaultRowHeight="14.5" x14ac:dyDescent="0.35"/>
  <cols>
    <col min="1" max="1" width="3.26953125" customWidth="1"/>
    <col min="2" max="2" width="7.453125" customWidth="1"/>
    <col min="3" max="3" width="38.7265625" customWidth="1"/>
    <col min="4" max="4" width="10.36328125" bestFit="1" customWidth="1"/>
    <col min="6" max="6" width="10.90625" bestFit="1" customWidth="1"/>
    <col min="7" max="8" width="13.1796875" customWidth="1"/>
    <col min="9" max="9" width="5.453125" customWidth="1"/>
    <col min="10" max="10" width="5.90625" customWidth="1"/>
    <col min="11" max="11" width="15.26953125" customWidth="1"/>
  </cols>
  <sheetData>
    <row r="1" spans="1:11" x14ac:dyDescent="0.35">
      <c r="C1" s="186" t="s">
        <v>590</v>
      </c>
      <c r="D1" s="186"/>
      <c r="E1" s="186"/>
      <c r="F1" s="186"/>
      <c r="G1" s="186"/>
      <c r="H1" s="186"/>
    </row>
    <row r="2" spans="1:11" x14ac:dyDescent="0.35">
      <c r="C2" s="82" t="s">
        <v>592</v>
      </c>
      <c r="D2" s="187" t="s">
        <v>591</v>
      </c>
      <c r="E2" s="187"/>
      <c r="F2" s="187"/>
      <c r="G2" s="187"/>
      <c r="H2" s="187"/>
    </row>
    <row r="3" spans="1:11" x14ac:dyDescent="0.35">
      <c r="E3" t="s">
        <v>61</v>
      </c>
    </row>
    <row r="4" spans="1:11" x14ac:dyDescent="0.35">
      <c r="A4" t="s">
        <v>0</v>
      </c>
      <c r="C4" s="37" t="str">
        <f>'Input-TB'!C1</f>
        <v>ABC SACCOS</v>
      </c>
      <c r="E4" t="s">
        <v>593</v>
      </c>
      <c r="F4" s="84" t="str">
        <f>'Input-TB'!C9</f>
        <v>2082-03-32</v>
      </c>
    </row>
    <row r="5" spans="1:11" x14ac:dyDescent="0.35">
      <c r="A5" t="s">
        <v>1</v>
      </c>
      <c r="C5" s="37" t="str">
        <f>'Input-TB'!C2</f>
        <v>ABC SACCOS</v>
      </c>
    </row>
    <row r="6" spans="1:11" x14ac:dyDescent="0.35">
      <c r="A6" s="3" t="s">
        <v>2</v>
      </c>
      <c r="C6" s="37">
        <f>'Input-TB'!C6</f>
        <v>0</v>
      </c>
    </row>
    <row r="7" spans="1:11" x14ac:dyDescent="0.35">
      <c r="A7" s="1"/>
      <c r="B7" s="1"/>
      <c r="C7" s="1" t="s">
        <v>19</v>
      </c>
      <c r="D7" s="1" t="s">
        <v>5</v>
      </c>
      <c r="E7" s="1" t="s">
        <v>6</v>
      </c>
      <c r="F7" s="1" t="s">
        <v>8</v>
      </c>
      <c r="G7" s="1" t="s">
        <v>7</v>
      </c>
      <c r="H7" s="1" t="s">
        <v>17</v>
      </c>
      <c r="I7" s="1" t="s">
        <v>18</v>
      </c>
      <c r="J7" s="1"/>
      <c r="K7" s="1"/>
    </row>
    <row r="8" spans="1:11" ht="19" x14ac:dyDescent="0.5">
      <c r="A8" s="170" t="s">
        <v>3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9" x14ac:dyDescent="0.5">
      <c r="A9" s="36"/>
      <c r="B9" s="36"/>
      <c r="C9" s="1" t="s">
        <v>19</v>
      </c>
      <c r="D9" s="1" t="s">
        <v>5</v>
      </c>
      <c r="E9" s="1" t="s">
        <v>6</v>
      </c>
      <c r="F9" s="1" t="s">
        <v>8</v>
      </c>
      <c r="G9" s="1" t="s">
        <v>7</v>
      </c>
      <c r="H9" s="1" t="s">
        <v>17</v>
      </c>
      <c r="I9" s="1" t="s">
        <v>18</v>
      </c>
      <c r="J9" s="36"/>
      <c r="K9" s="36"/>
    </row>
    <row r="10" spans="1:11" ht="19" x14ac:dyDescent="0.5">
      <c r="A10" s="171">
        <v>1</v>
      </c>
      <c r="B10" s="173" t="s">
        <v>9</v>
      </c>
      <c r="C10" s="4" t="s">
        <v>4</v>
      </c>
      <c r="D10" s="4">
        <v>12</v>
      </c>
      <c r="E10" s="5">
        <v>0</v>
      </c>
      <c r="F10" s="4">
        <f>D10-E10</f>
        <v>12</v>
      </c>
      <c r="G10" s="4">
        <v>0.05</v>
      </c>
      <c r="H10" s="4">
        <f>F10*G10</f>
        <v>0.60000000000000009</v>
      </c>
      <c r="I10" s="176">
        <f>IF(SUM(H10:H18)&lt;1,1,(SUM(H10:H18)))</f>
        <v>4</v>
      </c>
      <c r="J10" s="173" t="str">
        <f>IF(I10&lt;=1,"Non-Significant",IF(I10&lt;=2,"Significant",IF(I10&lt;=3,"Suspicious","Malignant")))</f>
        <v>Malignant</v>
      </c>
      <c r="K10" s="1"/>
    </row>
    <row r="11" spans="1:11" ht="19" x14ac:dyDescent="0.5">
      <c r="A11" s="172"/>
      <c r="B11" s="173"/>
      <c r="C11" s="4" t="s">
        <v>10</v>
      </c>
      <c r="D11" s="4">
        <v>1</v>
      </c>
      <c r="E11" s="5">
        <v>0</v>
      </c>
      <c r="F11" s="4">
        <f t="shared" ref="F11:F18" si="0">D11-E11</f>
        <v>1</v>
      </c>
      <c r="G11" s="4">
        <v>0.4</v>
      </c>
      <c r="H11" s="4">
        <f t="shared" ref="H11:H18" si="1">F11*G11</f>
        <v>0.4</v>
      </c>
      <c r="I11" s="176"/>
      <c r="J11" s="173"/>
      <c r="K11" s="2"/>
    </row>
    <row r="12" spans="1:11" ht="19" x14ac:dyDescent="0.5">
      <c r="A12" s="172"/>
      <c r="B12" s="173"/>
      <c r="C12" s="4" t="s">
        <v>11</v>
      </c>
      <c r="D12" s="4">
        <v>1</v>
      </c>
      <c r="E12" s="5">
        <v>0</v>
      </c>
      <c r="F12" s="4">
        <f t="shared" si="0"/>
        <v>1</v>
      </c>
      <c r="G12" s="4">
        <v>0.1</v>
      </c>
      <c r="H12" s="4">
        <f t="shared" si="1"/>
        <v>0.1</v>
      </c>
      <c r="I12" s="176"/>
      <c r="J12" s="173"/>
      <c r="K12" s="2"/>
    </row>
    <row r="13" spans="1:11" ht="19" x14ac:dyDescent="0.5">
      <c r="A13" s="172"/>
      <c r="B13" s="173"/>
      <c r="C13" s="4" t="s">
        <v>12</v>
      </c>
      <c r="D13" s="4">
        <v>1</v>
      </c>
      <c r="E13" s="5">
        <v>0</v>
      </c>
      <c r="F13" s="4">
        <f t="shared" si="0"/>
        <v>1</v>
      </c>
      <c r="G13" s="4">
        <v>0.4</v>
      </c>
      <c r="H13" s="4">
        <f t="shared" si="1"/>
        <v>0.4</v>
      </c>
      <c r="I13" s="176"/>
      <c r="J13" s="173"/>
      <c r="K13" s="2"/>
    </row>
    <row r="14" spans="1:11" ht="38" x14ac:dyDescent="0.5">
      <c r="A14" s="172"/>
      <c r="B14" s="173"/>
      <c r="C14" s="6" t="s">
        <v>13</v>
      </c>
      <c r="D14" s="4">
        <v>4</v>
      </c>
      <c r="E14" s="5">
        <v>0</v>
      </c>
      <c r="F14" s="4">
        <f t="shared" si="0"/>
        <v>4</v>
      </c>
      <c r="G14" s="4">
        <v>0.1</v>
      </c>
      <c r="H14" s="4">
        <f t="shared" si="1"/>
        <v>0.4</v>
      </c>
      <c r="I14" s="176"/>
      <c r="J14" s="173"/>
      <c r="K14" s="2" t="str">
        <f>J10</f>
        <v>Malignant</v>
      </c>
    </row>
    <row r="15" spans="1:11" ht="19" x14ac:dyDescent="0.5">
      <c r="A15" s="172"/>
      <c r="B15" s="173"/>
      <c r="C15" s="6" t="s">
        <v>14</v>
      </c>
      <c r="D15" s="4">
        <v>12</v>
      </c>
      <c r="E15" s="5">
        <v>0</v>
      </c>
      <c r="F15" s="4">
        <f t="shared" si="0"/>
        <v>12</v>
      </c>
      <c r="G15" s="4">
        <v>0.1</v>
      </c>
      <c r="H15" s="4">
        <f t="shared" si="1"/>
        <v>1.2000000000000002</v>
      </c>
      <c r="I15" s="176"/>
      <c r="J15" s="173"/>
      <c r="K15" s="2"/>
    </row>
    <row r="16" spans="1:11" ht="38" x14ac:dyDescent="0.5">
      <c r="A16" s="172"/>
      <c r="B16" s="173"/>
      <c r="C16" s="6" t="s">
        <v>20</v>
      </c>
      <c r="D16" s="4">
        <v>4</v>
      </c>
      <c r="E16" s="5">
        <v>0</v>
      </c>
      <c r="F16" s="4">
        <f t="shared" si="0"/>
        <v>4</v>
      </c>
      <c r="G16" s="4">
        <v>0.1</v>
      </c>
      <c r="H16" s="4">
        <f t="shared" si="1"/>
        <v>0.4</v>
      </c>
      <c r="I16" s="176"/>
      <c r="J16" s="173"/>
      <c r="K16" s="2"/>
    </row>
    <row r="17" spans="1:11" ht="38" x14ac:dyDescent="0.5">
      <c r="A17" s="172"/>
      <c r="B17" s="173"/>
      <c r="C17" s="6" t="s">
        <v>15</v>
      </c>
      <c r="D17" s="4">
        <v>4</v>
      </c>
      <c r="E17" s="5">
        <v>0</v>
      </c>
      <c r="F17" s="4">
        <f t="shared" si="0"/>
        <v>4</v>
      </c>
      <c r="G17" s="4">
        <v>0.1</v>
      </c>
      <c r="H17" s="4">
        <f t="shared" si="1"/>
        <v>0.4</v>
      </c>
      <c r="I17" s="176"/>
      <c r="J17" s="173"/>
      <c r="K17" s="2"/>
    </row>
    <row r="18" spans="1:11" ht="38" x14ac:dyDescent="0.5">
      <c r="A18" s="172"/>
      <c r="B18" s="173"/>
      <c r="C18" s="6" t="s">
        <v>16</v>
      </c>
      <c r="D18" s="4">
        <v>1</v>
      </c>
      <c r="E18" s="5">
        <v>0</v>
      </c>
      <c r="F18" s="4">
        <f t="shared" si="0"/>
        <v>1</v>
      </c>
      <c r="G18" s="4">
        <v>0.1</v>
      </c>
      <c r="H18" s="4">
        <f t="shared" si="1"/>
        <v>0.1</v>
      </c>
      <c r="I18" s="176"/>
      <c r="J18" s="173"/>
      <c r="K18" s="2"/>
    </row>
    <row r="19" spans="1:11" x14ac:dyDescent="0.35">
      <c r="A19" s="1"/>
      <c r="B19" s="1"/>
      <c r="C19" s="1"/>
      <c r="D19" s="1"/>
      <c r="E19" s="1"/>
      <c r="F19" s="1"/>
      <c r="G19" s="1"/>
      <c r="H19" s="1">
        <f>SUM(H10:H18)</f>
        <v>4</v>
      </c>
      <c r="I19" s="1">
        <f>I10</f>
        <v>4</v>
      </c>
      <c r="J19" s="1"/>
      <c r="K19" s="1"/>
    </row>
    <row r="20" spans="1:11" ht="19" x14ac:dyDescent="0.5">
      <c r="A20" s="170" t="s">
        <v>3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</row>
    <row r="21" spans="1:11" ht="19" x14ac:dyDescent="0.5">
      <c r="A21" s="36"/>
      <c r="B21" s="36"/>
      <c r="C21" s="1" t="s">
        <v>19</v>
      </c>
      <c r="D21" s="1" t="s">
        <v>5</v>
      </c>
      <c r="E21" s="1" t="s">
        <v>6</v>
      </c>
      <c r="F21" s="1" t="s">
        <v>8</v>
      </c>
      <c r="G21" s="1" t="s">
        <v>7</v>
      </c>
      <c r="H21" s="1" t="s">
        <v>17</v>
      </c>
      <c r="I21" s="1" t="s">
        <v>18</v>
      </c>
      <c r="J21" s="36"/>
      <c r="K21" s="36"/>
    </row>
    <row r="22" spans="1:11" ht="19" customHeight="1" x14ac:dyDescent="0.5">
      <c r="A22" s="171">
        <v>1</v>
      </c>
      <c r="B22" s="180" t="s">
        <v>21</v>
      </c>
      <c r="C22" s="4" t="s">
        <v>22</v>
      </c>
      <c r="D22" s="4">
        <v>1</v>
      </c>
      <c r="E22" s="5">
        <v>1</v>
      </c>
      <c r="F22" s="4">
        <f>D22-E22</f>
        <v>0</v>
      </c>
      <c r="G22" s="43">
        <v>0.5</v>
      </c>
      <c r="H22" s="43">
        <f>F22*G22</f>
        <v>0</v>
      </c>
      <c r="I22" s="183" t="e">
        <f>IF(SUM(H22:H27)&lt;1,1,(SUM(H22:H27)))</f>
        <v>#DIV/0!</v>
      </c>
      <c r="J22" s="180" t="e">
        <f>IF(I22&lt;=1,"Non-Significant",IF(I22&lt;=2,"Significant",IF(I22&lt;=3,"Suspicious","Malignant")))</f>
        <v>#DIV/0!</v>
      </c>
      <c r="K22" s="1"/>
    </row>
    <row r="23" spans="1:11" ht="19" x14ac:dyDescent="0.5">
      <c r="A23" s="172"/>
      <c r="B23" s="181"/>
      <c r="C23" s="4" t="s">
        <v>23</v>
      </c>
      <c r="D23" s="4">
        <v>1</v>
      </c>
      <c r="E23" s="5">
        <v>1</v>
      </c>
      <c r="F23" s="4">
        <f t="shared" ref="F23:F24" si="2">D23-E23</f>
        <v>0</v>
      </c>
      <c r="G23" s="43">
        <v>0.5</v>
      </c>
      <c r="H23" s="43">
        <f t="shared" ref="H23:H27" si="3">F23*G23</f>
        <v>0</v>
      </c>
      <c r="I23" s="184"/>
      <c r="J23" s="181"/>
      <c r="K23" s="2"/>
    </row>
    <row r="24" spans="1:11" ht="19" x14ac:dyDescent="0.5">
      <c r="A24" s="172"/>
      <c r="B24" s="181"/>
      <c r="C24" s="4" t="s">
        <v>766</v>
      </c>
      <c r="D24" s="4">
        <v>1</v>
      </c>
      <c r="E24" s="5">
        <v>1</v>
      </c>
      <c r="F24" s="4">
        <f t="shared" si="2"/>
        <v>0</v>
      </c>
      <c r="G24" s="43">
        <v>0.5</v>
      </c>
      <c r="H24" s="43">
        <f t="shared" si="3"/>
        <v>0</v>
      </c>
      <c r="I24" s="184"/>
      <c r="J24" s="181"/>
      <c r="K24" s="2"/>
    </row>
    <row r="25" spans="1:11" ht="19" x14ac:dyDescent="0.5">
      <c r="A25" s="172"/>
      <c r="B25" s="181"/>
      <c r="C25" s="4" t="s">
        <v>24</v>
      </c>
      <c r="D25" s="4">
        <v>1</v>
      </c>
      <c r="E25" s="5">
        <v>1</v>
      </c>
      <c r="F25" s="4">
        <f t="shared" ref="F25:F27" si="4">D25-E25</f>
        <v>0</v>
      </c>
      <c r="G25" s="43">
        <v>0.5</v>
      </c>
      <c r="H25" s="43">
        <f t="shared" ref="H25" si="5">F25*G25</f>
        <v>0</v>
      </c>
      <c r="I25" s="184"/>
      <c r="J25" s="181"/>
      <c r="K25" s="2"/>
    </row>
    <row r="26" spans="1:11" ht="19" x14ac:dyDescent="0.5">
      <c r="A26" s="172"/>
      <c r="B26" s="181"/>
      <c r="C26" s="4" t="s">
        <v>29</v>
      </c>
      <c r="D26" s="59">
        <v>1</v>
      </c>
      <c r="E26" s="48" t="e">
        <f>'Input-Additional'!B5</f>
        <v>#DIV/0!</v>
      </c>
      <c r="F26" s="7"/>
      <c r="G26" s="43">
        <v>1</v>
      </c>
      <c r="H26" s="43" t="e">
        <f>IF(E26&lt;67,1,IF(E26&lt;75,0.75,IF(E26&lt;90,0.5,0)))</f>
        <v>#DIV/0!</v>
      </c>
      <c r="I26" s="184"/>
      <c r="J26" s="181"/>
      <c r="K26" s="2" t="e">
        <f>J22</f>
        <v>#DIV/0!</v>
      </c>
    </row>
    <row r="27" spans="1:11" ht="19" x14ac:dyDescent="0.5">
      <c r="A27" s="172"/>
      <c r="B27" s="181"/>
      <c r="C27" s="6" t="s">
        <v>767</v>
      </c>
      <c r="D27" s="4">
        <v>1</v>
      </c>
      <c r="E27" s="5">
        <v>1</v>
      </c>
      <c r="F27" s="4">
        <f t="shared" si="4"/>
        <v>0</v>
      </c>
      <c r="G27" s="43">
        <v>0.5</v>
      </c>
      <c r="H27" s="43">
        <f t="shared" si="3"/>
        <v>0</v>
      </c>
      <c r="I27" s="184"/>
      <c r="J27" s="181"/>
      <c r="K27" s="2"/>
    </row>
    <row r="28" spans="1:11" ht="38" x14ac:dyDescent="0.5">
      <c r="A28" s="56"/>
      <c r="B28" s="182"/>
      <c r="C28" s="6" t="s">
        <v>768</v>
      </c>
      <c r="D28" s="4">
        <v>1</v>
      </c>
      <c r="E28" s="5">
        <v>1</v>
      </c>
      <c r="F28" s="4">
        <f t="shared" ref="F28" si="6">D28-E28</f>
        <v>0</v>
      </c>
      <c r="G28" s="43">
        <v>0.5</v>
      </c>
      <c r="H28" s="43">
        <f t="shared" ref="H28" si="7">F28*G28</f>
        <v>0</v>
      </c>
      <c r="I28" s="185"/>
      <c r="J28" s="182"/>
      <c r="K28" s="2"/>
    </row>
    <row r="29" spans="1:11" ht="19" x14ac:dyDescent="0.5">
      <c r="A29" s="1"/>
      <c r="B29" s="1"/>
      <c r="C29" s="1"/>
      <c r="D29" s="1"/>
      <c r="E29" s="1"/>
      <c r="F29" s="1"/>
      <c r="G29" s="1">
        <f>SUM(G22:G28)</f>
        <v>4</v>
      </c>
      <c r="H29" s="43" t="e">
        <f>SUM(H22:H27)</f>
        <v>#DIV/0!</v>
      </c>
      <c r="I29" s="43" t="e">
        <f>SUM(I22:I27)</f>
        <v>#DIV/0!</v>
      </c>
      <c r="J29" s="1"/>
      <c r="K29" s="1"/>
    </row>
    <row r="31" spans="1:11" ht="19" x14ac:dyDescent="0.5">
      <c r="A31" s="170" t="s">
        <v>3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</row>
    <row r="32" spans="1:11" ht="19" x14ac:dyDescent="0.5">
      <c r="A32" s="36"/>
      <c r="B32" s="36"/>
      <c r="C32" s="1" t="s">
        <v>19</v>
      </c>
      <c r="D32" s="1" t="s">
        <v>597</v>
      </c>
      <c r="E32" s="1" t="s">
        <v>6</v>
      </c>
      <c r="F32" s="1" t="s">
        <v>8</v>
      </c>
      <c r="G32" s="1" t="s">
        <v>7</v>
      </c>
      <c r="H32" s="1" t="s">
        <v>17</v>
      </c>
      <c r="I32" s="1" t="s">
        <v>18</v>
      </c>
      <c r="J32" s="36"/>
      <c r="K32" s="36"/>
    </row>
    <row r="33" spans="1:14" ht="19" x14ac:dyDescent="0.5">
      <c r="A33" s="171">
        <v>1</v>
      </c>
      <c r="B33" s="173" t="s">
        <v>33</v>
      </c>
      <c r="C33" s="4" t="s">
        <v>30</v>
      </c>
      <c r="D33" s="5"/>
      <c r="E33" s="4">
        <f>IF(D33="भएको",1,0)</f>
        <v>0</v>
      </c>
      <c r="F33" s="4">
        <f>1-E33</f>
        <v>1</v>
      </c>
      <c r="G33" s="43">
        <v>0.5</v>
      </c>
      <c r="H33" s="43">
        <f t="shared" ref="H33:H34" si="8">F33*G33</f>
        <v>0.5</v>
      </c>
      <c r="I33" s="177">
        <f>IF(SUM(H33:H37)&lt;1,1,(SUM(H33:H37)))</f>
        <v>3</v>
      </c>
      <c r="J33" s="173" t="str">
        <f>IF(I33&lt;=0.75,"Non-Significant",IF(I33&lt;=1.5,"Significant",IF(I33&lt;=2.25,"Suspicious","Malignant")))</f>
        <v>Malignant</v>
      </c>
      <c r="K33" s="1"/>
    </row>
    <row r="34" spans="1:14" ht="19" x14ac:dyDescent="0.5">
      <c r="A34" s="172"/>
      <c r="B34" s="173"/>
      <c r="C34" s="4" t="s">
        <v>31</v>
      </c>
      <c r="D34" s="5"/>
      <c r="E34" s="4">
        <f>IF(D34="तोकिएको",1,0)</f>
        <v>0</v>
      </c>
      <c r="F34" s="4">
        <f>1-E34</f>
        <v>1</v>
      </c>
      <c r="G34" s="43">
        <v>0.5</v>
      </c>
      <c r="H34" s="43">
        <f t="shared" si="8"/>
        <v>0.5</v>
      </c>
      <c r="I34" s="177"/>
      <c r="J34" s="173"/>
      <c r="K34" s="2"/>
    </row>
    <row r="35" spans="1:14" ht="19" x14ac:dyDescent="0.5">
      <c r="A35" s="172"/>
      <c r="B35" s="173"/>
      <c r="C35" s="4" t="s">
        <v>32</v>
      </c>
      <c r="D35" s="5"/>
      <c r="E35" s="7"/>
      <c r="F35" s="7"/>
      <c r="G35" s="7"/>
      <c r="H35" s="43">
        <f>IF(D35="Unqualified",0.25,IF(D35="Qualified",0.5,IF(D35="Adverse",0.75,1)))</f>
        <v>1</v>
      </c>
      <c r="I35" s="177"/>
      <c r="J35" s="173"/>
      <c r="K35" s="2" t="str">
        <f>J33</f>
        <v>Malignant</v>
      </c>
    </row>
    <row r="36" spans="1:14" ht="19" x14ac:dyDescent="0.5">
      <c r="A36" s="172"/>
      <c r="B36" s="173"/>
      <c r="C36" s="4" t="s">
        <v>34</v>
      </c>
      <c r="D36" s="5"/>
      <c r="E36" s="4">
        <f>IF(D36="भएको",1,0)</f>
        <v>0</v>
      </c>
      <c r="F36" s="4">
        <f>1-E36</f>
        <v>1</v>
      </c>
      <c r="G36" s="43">
        <v>0.5</v>
      </c>
      <c r="H36" s="43">
        <f t="shared" ref="H36" si="9">F36*G36</f>
        <v>0.5</v>
      </c>
      <c r="I36" s="177"/>
      <c r="J36" s="173"/>
      <c r="K36" s="2"/>
    </row>
    <row r="37" spans="1:14" ht="31.5" customHeight="1" x14ac:dyDescent="0.5">
      <c r="A37" s="172"/>
      <c r="B37" s="173"/>
      <c r="C37" s="6" t="s">
        <v>35</v>
      </c>
      <c r="D37" s="5"/>
      <c r="E37" s="4">
        <f>IF(D37="भएको",1,0)</f>
        <v>0</v>
      </c>
      <c r="F37" s="4">
        <f>1-E37</f>
        <v>1</v>
      </c>
      <c r="G37" s="43">
        <v>0.5</v>
      </c>
      <c r="H37" s="43">
        <f t="shared" ref="H37" si="10">F37*G37</f>
        <v>0.5</v>
      </c>
      <c r="I37" s="177"/>
      <c r="J37" s="173"/>
      <c r="K37" s="2"/>
    </row>
    <row r="38" spans="1:14" ht="19" x14ac:dyDescent="0.5">
      <c r="G38" s="45"/>
      <c r="H38" s="44">
        <f>SUM(H33:H37)</f>
        <v>3</v>
      </c>
      <c r="I38" s="44">
        <f>SUM(I33:I37)</f>
        <v>3</v>
      </c>
    </row>
    <row r="39" spans="1:14" ht="19" x14ac:dyDescent="0.5">
      <c r="A39" s="170" t="s">
        <v>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</row>
    <row r="40" spans="1:14" ht="19" x14ac:dyDescent="0.5">
      <c r="A40" s="36"/>
      <c r="B40" s="36"/>
      <c r="C40" s="1" t="s">
        <v>19</v>
      </c>
      <c r="D40" s="1" t="s">
        <v>545</v>
      </c>
      <c r="E40" s="1" t="s">
        <v>6</v>
      </c>
      <c r="F40" s="1" t="s">
        <v>8</v>
      </c>
      <c r="G40" s="1" t="s">
        <v>7</v>
      </c>
      <c r="H40" s="1" t="s">
        <v>17</v>
      </c>
      <c r="I40" s="1" t="s">
        <v>18</v>
      </c>
      <c r="J40" s="36"/>
      <c r="K40" s="36"/>
    </row>
    <row r="41" spans="1:14" ht="36.5" customHeight="1" x14ac:dyDescent="0.5">
      <c r="A41" s="171">
        <v>1</v>
      </c>
      <c r="B41" s="173" t="s">
        <v>36</v>
      </c>
      <c r="C41" s="4" t="s">
        <v>37</v>
      </c>
      <c r="D41" s="5">
        <v>19</v>
      </c>
      <c r="E41" s="178" t="str">
        <f>IF(D41&lt;=16,"सन्दर्भ ब्याजदरको सीमा भित्र रहेको","सन्दर्भ ब्याजदरभन्दा बढी रहेको")</f>
        <v>सन्दर्भ ब्याजदरभन्दा बढी रहेको</v>
      </c>
      <c r="F41" s="179"/>
      <c r="G41" s="43">
        <v>0.5</v>
      </c>
      <c r="H41" s="43">
        <f>IF(D41&gt;16,1*G41,0)</f>
        <v>0.5</v>
      </c>
      <c r="I41" s="176">
        <f>IF(SUM(H41:H45)&lt;1,1,(SUM(H41:H45)))</f>
        <v>3</v>
      </c>
      <c r="J41" s="173" t="str">
        <f>IF(I41&lt;=0.75,"Non-Significant",IF(I41&lt;=1.5,"Significant",IF(I41&lt;=2.25,"Suspicious","Malignant")))</f>
        <v>Malignant</v>
      </c>
      <c r="K41" s="1"/>
      <c r="M41" s="114" t="s">
        <v>598</v>
      </c>
      <c r="N41" s="113"/>
    </row>
    <row r="42" spans="1:14" ht="19" x14ac:dyDescent="0.5">
      <c r="A42" s="172"/>
      <c r="B42" s="173"/>
      <c r="C42" s="4" t="s">
        <v>38</v>
      </c>
      <c r="D42" s="5"/>
      <c r="E42" s="4"/>
      <c r="F42" s="4"/>
      <c r="G42" s="43"/>
      <c r="H42" s="43">
        <f t="shared" ref="H42:H44" si="11">F42*G42</f>
        <v>0</v>
      </c>
      <c r="I42" s="176"/>
      <c r="J42" s="173"/>
      <c r="K42" s="2"/>
      <c r="M42" t="s">
        <v>599</v>
      </c>
    </row>
    <row r="43" spans="1:14" ht="19" x14ac:dyDescent="0.5">
      <c r="A43" s="172"/>
      <c r="B43" s="173"/>
      <c r="C43" s="4" t="s">
        <v>39</v>
      </c>
      <c r="D43" s="5"/>
      <c r="E43" s="4"/>
      <c r="F43" s="4"/>
      <c r="G43" s="43"/>
      <c r="H43" s="43">
        <f t="shared" si="11"/>
        <v>0</v>
      </c>
      <c r="I43" s="176"/>
      <c r="J43" s="173"/>
      <c r="K43" s="2" t="str">
        <f>J41</f>
        <v>Malignant</v>
      </c>
    </row>
    <row r="44" spans="1:14" ht="19" x14ac:dyDescent="0.5">
      <c r="A44" s="172"/>
      <c r="B44" s="173"/>
      <c r="C44" s="4" t="s">
        <v>40</v>
      </c>
      <c r="D44" s="5"/>
      <c r="E44" s="4"/>
      <c r="F44" s="4"/>
      <c r="G44" s="43"/>
      <c r="H44" s="43">
        <f t="shared" si="11"/>
        <v>0</v>
      </c>
      <c r="I44" s="176"/>
      <c r="J44" s="173"/>
      <c r="K44" s="2"/>
    </row>
    <row r="45" spans="1:14" ht="19" x14ac:dyDescent="0.5">
      <c r="A45" s="172"/>
      <c r="B45" s="173"/>
      <c r="C45" s="6" t="s">
        <v>41</v>
      </c>
      <c r="D45" s="5"/>
      <c r="E45" s="4"/>
      <c r="F45" s="4"/>
      <c r="G45" s="43"/>
      <c r="H45" s="43">
        <f>IF(AND(D45&gt;=4,D45&lt;=6),0.75,
   IF(AND(D45&gt;=3,D45&lt;4),1.5,
   IF(AND(D45&gt;=2,D45&lt;3),2.25,
   IF(D45&lt;2,2.5,
   IF(D45&gt;6,2.5)))))</f>
        <v>2.5</v>
      </c>
      <c r="I45" s="176"/>
      <c r="J45" s="173"/>
      <c r="K45" s="2"/>
    </row>
    <row r="46" spans="1:14" ht="19" x14ac:dyDescent="0.5">
      <c r="A46" s="1"/>
      <c r="B46" s="1"/>
      <c r="C46" s="1"/>
      <c r="D46" s="1"/>
      <c r="E46" s="1"/>
      <c r="F46" s="1"/>
      <c r="G46" s="46"/>
      <c r="H46" s="43">
        <f>SUM(H41:H45)</f>
        <v>3</v>
      </c>
      <c r="I46" s="43">
        <f>SUM(I41:I45)</f>
        <v>3</v>
      </c>
      <c r="J46" s="1"/>
      <c r="K46" s="1"/>
    </row>
    <row r="48" spans="1:14" ht="19" x14ac:dyDescent="0.5">
      <c r="A48" s="170" t="s">
        <v>3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</row>
    <row r="49" spans="1:11" ht="19" x14ac:dyDescent="0.5">
      <c r="A49" s="36"/>
      <c r="B49" s="36"/>
      <c r="C49" s="1" t="s">
        <v>19</v>
      </c>
      <c r="D49" s="1" t="s">
        <v>5</v>
      </c>
      <c r="E49" s="1" t="s">
        <v>6</v>
      </c>
      <c r="F49" s="1" t="s">
        <v>8</v>
      </c>
      <c r="G49" s="1" t="s">
        <v>7</v>
      </c>
      <c r="H49" s="1" t="s">
        <v>17</v>
      </c>
      <c r="I49" s="1" t="s">
        <v>18</v>
      </c>
      <c r="J49" s="36"/>
      <c r="K49" s="36"/>
    </row>
    <row r="50" spans="1:11" ht="19" x14ac:dyDescent="0.5">
      <c r="A50" s="171">
        <v>1</v>
      </c>
      <c r="B50" s="173" t="s">
        <v>42</v>
      </c>
      <c r="C50" s="4" t="s">
        <v>47</v>
      </c>
      <c r="D50" s="5"/>
      <c r="E50" s="4">
        <f>IF(D50="भएको",1,0)</f>
        <v>0</v>
      </c>
      <c r="F50" s="4">
        <f>1-E50</f>
        <v>1</v>
      </c>
      <c r="G50" s="43">
        <v>2</v>
      </c>
      <c r="H50" s="43">
        <f t="shared" ref="H50" si="12">F50*G50</f>
        <v>2</v>
      </c>
      <c r="I50" s="176">
        <f>IF(SUM(H50:H56)&lt;1,1,(SUM(H50:H56)))</f>
        <v>2.5</v>
      </c>
      <c r="J50" s="173" t="str">
        <f>IF(I50&lt;=1,"Non-Significant",IF(I50&lt;=2,"Significant",IF(I50&lt;=3,"Suspicious","Malignant")))</f>
        <v>Suspicious</v>
      </c>
      <c r="K50" s="1"/>
    </row>
    <row r="51" spans="1:11" ht="19" x14ac:dyDescent="0.5">
      <c r="A51" s="172"/>
      <c r="B51" s="173"/>
      <c r="C51" s="4" t="s">
        <v>43</v>
      </c>
      <c r="D51" s="5"/>
      <c r="E51" s="4">
        <f>IF(D51="भएको",1,0)</f>
        <v>0</v>
      </c>
      <c r="F51" s="4">
        <f>1-E51</f>
        <v>1</v>
      </c>
      <c r="G51" s="43">
        <v>0.5</v>
      </c>
      <c r="H51" s="43">
        <f t="shared" ref="H51" si="13">F51*G51</f>
        <v>0.5</v>
      </c>
      <c r="I51" s="176"/>
      <c r="J51" s="173"/>
      <c r="K51" s="2"/>
    </row>
    <row r="52" spans="1:11" ht="19" x14ac:dyDescent="0.5">
      <c r="A52" s="172"/>
      <c r="B52" s="173"/>
      <c r="C52" s="4" t="s">
        <v>44</v>
      </c>
      <c r="D52" s="5"/>
      <c r="E52" s="7"/>
      <c r="F52" s="7"/>
      <c r="G52" s="7"/>
      <c r="H52" s="7"/>
      <c r="I52" s="176"/>
      <c r="J52" s="173"/>
      <c r="K52" s="2"/>
    </row>
    <row r="53" spans="1:11" ht="19" x14ac:dyDescent="0.5">
      <c r="A53" s="172"/>
      <c r="B53" s="173"/>
      <c r="C53" s="4" t="s">
        <v>45</v>
      </c>
      <c r="D53" s="5"/>
      <c r="E53" s="7"/>
      <c r="F53" s="7"/>
      <c r="G53" s="7"/>
      <c r="H53" s="7"/>
      <c r="I53" s="176"/>
      <c r="J53" s="173"/>
      <c r="K53" s="2" t="str">
        <f>J50</f>
        <v>Suspicious</v>
      </c>
    </row>
    <row r="54" spans="1:11" ht="19" x14ac:dyDescent="0.5">
      <c r="A54" s="172"/>
      <c r="B54" s="173"/>
      <c r="C54" s="8" t="s">
        <v>537</v>
      </c>
      <c r="D54" s="48">
        <f>D53-D52</f>
        <v>0</v>
      </c>
      <c r="E54" s="4"/>
      <c r="F54" s="4"/>
      <c r="G54" s="43"/>
      <c r="H54" s="43"/>
      <c r="I54" s="176"/>
      <c r="J54" s="173"/>
      <c r="K54" s="2"/>
    </row>
    <row r="55" spans="1:11" ht="19" x14ac:dyDescent="0.5">
      <c r="A55" s="172"/>
      <c r="B55" s="173"/>
      <c r="C55" s="8" t="s">
        <v>538</v>
      </c>
      <c r="D55" s="48" t="str">
        <f>IF(D54=0,"Equal",IF(D54&lt;0,"Negative",IF(D54&gt;0,"Positive")))</f>
        <v>Equal</v>
      </c>
      <c r="E55" s="4"/>
      <c r="F55" s="4"/>
      <c r="G55" s="43"/>
      <c r="H55" s="43">
        <f>IF(D55="Equal",0,IF(D55="Positive",0.5,IF(D55="Negative",1.5)))</f>
        <v>0</v>
      </c>
      <c r="I55" s="176"/>
      <c r="J55" s="173"/>
      <c r="K55" s="2"/>
    </row>
    <row r="56" spans="1:11" ht="19" x14ac:dyDescent="0.5">
      <c r="A56" s="172"/>
      <c r="B56" s="173"/>
      <c r="C56" s="4" t="s">
        <v>46</v>
      </c>
      <c r="D56" s="5"/>
      <c r="E56" s="4"/>
      <c r="F56" s="4"/>
      <c r="G56" s="43"/>
      <c r="H56" s="43"/>
      <c r="I56" s="176"/>
      <c r="J56" s="173"/>
      <c r="K56" s="2"/>
    </row>
    <row r="57" spans="1:11" x14ac:dyDescent="0.35">
      <c r="A57" s="1"/>
      <c r="B57" s="1"/>
      <c r="C57" s="1"/>
      <c r="D57" s="1"/>
      <c r="E57" s="1"/>
      <c r="F57" s="1"/>
      <c r="G57" s="1"/>
      <c r="H57" s="1">
        <f>SUM(H50:H56)</f>
        <v>2.5</v>
      </c>
      <c r="I57" s="1">
        <f>SUM(I50:I56)</f>
        <v>2.5</v>
      </c>
      <c r="J57" s="1"/>
      <c r="K57" s="1"/>
    </row>
    <row r="59" spans="1:11" ht="19" x14ac:dyDescent="0.5">
      <c r="A59" s="170" t="s">
        <v>3</v>
      </c>
      <c r="B59" s="170"/>
      <c r="C59" s="170"/>
      <c r="D59" s="170"/>
      <c r="E59" s="170"/>
      <c r="F59" s="170"/>
      <c r="G59" s="170"/>
      <c r="H59" s="170"/>
      <c r="I59" s="170"/>
      <c r="J59" s="170"/>
      <c r="K59" s="170"/>
    </row>
    <row r="60" spans="1:11" ht="19" x14ac:dyDescent="0.5">
      <c r="A60" s="36"/>
      <c r="B60" s="36"/>
      <c r="C60" s="1" t="s">
        <v>19</v>
      </c>
      <c r="D60" s="1" t="s">
        <v>5</v>
      </c>
      <c r="E60" s="1" t="s">
        <v>6</v>
      </c>
      <c r="F60" s="1" t="s">
        <v>8</v>
      </c>
      <c r="G60" s="1" t="s">
        <v>7</v>
      </c>
      <c r="H60" s="1" t="s">
        <v>17</v>
      </c>
      <c r="I60" s="1" t="s">
        <v>18</v>
      </c>
      <c r="J60" s="36"/>
      <c r="K60" s="36"/>
    </row>
    <row r="61" spans="1:11" ht="19" x14ac:dyDescent="0.5">
      <c r="A61" s="171">
        <v>1</v>
      </c>
      <c r="B61" s="173" t="s">
        <v>48</v>
      </c>
      <c r="C61" s="4" t="s">
        <v>49</v>
      </c>
      <c r="D61" s="5"/>
      <c r="E61" s="4"/>
      <c r="F61" s="4"/>
      <c r="G61" s="43"/>
      <c r="H61" s="43"/>
      <c r="I61" s="177">
        <f>IF(SUM(H61:H68)&lt;1,1,(SUM(H61:H68)))</f>
        <v>2</v>
      </c>
      <c r="J61" s="173" t="str">
        <f>IF(I61&lt;=0.5,"Non-Significant",IF(I61&lt;=1,"Significant",IF(I61&lt;=1.5,"Suspicious","Malignant")))</f>
        <v>Malignant</v>
      </c>
      <c r="K61" s="1"/>
    </row>
    <row r="62" spans="1:11" ht="19" x14ac:dyDescent="0.5">
      <c r="A62" s="172"/>
      <c r="B62" s="173"/>
      <c r="C62" s="4" t="s">
        <v>50</v>
      </c>
      <c r="D62" s="5"/>
      <c r="E62" s="4"/>
      <c r="F62" s="4"/>
      <c r="G62" s="43"/>
      <c r="H62" s="43"/>
      <c r="I62" s="177"/>
      <c r="J62" s="173"/>
      <c r="K62" s="2"/>
    </row>
    <row r="63" spans="1:11" ht="19" x14ac:dyDescent="0.5">
      <c r="A63" s="172"/>
      <c r="B63" s="173"/>
      <c r="C63" s="4" t="s">
        <v>51</v>
      </c>
      <c r="D63" s="5"/>
      <c r="E63" s="4"/>
      <c r="F63" s="4"/>
      <c r="G63" s="43"/>
      <c r="H63" s="43"/>
      <c r="I63" s="177"/>
      <c r="J63" s="173"/>
      <c r="K63" s="2"/>
    </row>
    <row r="64" spans="1:11" ht="38" x14ac:dyDescent="0.5">
      <c r="A64" s="172"/>
      <c r="B64" s="173"/>
      <c r="C64" s="8" t="s">
        <v>535</v>
      </c>
      <c r="D64" s="5"/>
      <c r="E64" s="4">
        <f>IF(D64="गरेको",1,0)</f>
        <v>0</v>
      </c>
      <c r="F64" s="4">
        <f>1-E64</f>
        <v>1</v>
      </c>
      <c r="G64" s="43">
        <v>0.5</v>
      </c>
      <c r="H64" s="43">
        <f t="shared" ref="H64:H65" si="14">F64*G64</f>
        <v>0.5</v>
      </c>
      <c r="I64" s="177"/>
      <c r="J64" s="173"/>
      <c r="K64" s="2" t="str">
        <f>J61</f>
        <v>Malignant</v>
      </c>
    </row>
    <row r="65" spans="1:11" ht="19" x14ac:dyDescent="0.5">
      <c r="A65" s="172"/>
      <c r="B65" s="173"/>
      <c r="C65" s="4" t="s">
        <v>55</v>
      </c>
      <c r="D65" s="5"/>
      <c r="E65" s="4">
        <f>IF(D65="दिइएको",1,0)</f>
        <v>0</v>
      </c>
      <c r="F65" s="4">
        <f>1-E65</f>
        <v>1</v>
      </c>
      <c r="G65" s="43">
        <v>0.5</v>
      </c>
      <c r="H65" s="43">
        <f t="shared" si="14"/>
        <v>0.5</v>
      </c>
      <c r="I65" s="177"/>
      <c r="J65" s="173"/>
      <c r="K65" s="2"/>
    </row>
    <row r="66" spans="1:11" ht="19" x14ac:dyDescent="0.5">
      <c r="A66" s="172"/>
      <c r="B66" s="173"/>
      <c r="C66" s="4" t="s">
        <v>52</v>
      </c>
      <c r="D66" s="5"/>
      <c r="E66" s="4">
        <f>IF(D66="गएको",1,0)</f>
        <v>0</v>
      </c>
      <c r="F66" s="4">
        <f>1-E66</f>
        <v>1</v>
      </c>
      <c r="G66" s="43">
        <v>0.5</v>
      </c>
      <c r="H66" s="43">
        <f t="shared" ref="H66" si="15">F66*G66</f>
        <v>0.5</v>
      </c>
      <c r="I66" s="177"/>
      <c r="J66" s="173"/>
      <c r="K66" s="2"/>
    </row>
    <row r="67" spans="1:11" ht="38" x14ac:dyDescent="0.5">
      <c r="A67" s="172"/>
      <c r="B67" s="173"/>
      <c r="C67" s="8" t="s">
        <v>53</v>
      </c>
      <c r="D67" s="4"/>
      <c r="E67" s="4"/>
      <c r="F67" s="4">
        <f>IF(D67&lt;0,1,0)</f>
        <v>0</v>
      </c>
      <c r="G67" s="43">
        <v>0.5</v>
      </c>
      <c r="H67" s="43">
        <f t="shared" ref="H67:H68" si="16">F67*G67</f>
        <v>0</v>
      </c>
      <c r="I67" s="177"/>
      <c r="J67" s="173"/>
      <c r="K67" s="2"/>
    </row>
    <row r="68" spans="1:11" ht="19" x14ac:dyDescent="0.5">
      <c r="A68" s="172"/>
      <c r="B68" s="173"/>
      <c r="C68" s="4" t="s">
        <v>54</v>
      </c>
      <c r="D68" s="5"/>
      <c r="E68" s="4">
        <f>IF(D68="गरेको",1,0)</f>
        <v>0</v>
      </c>
      <c r="F68" s="4">
        <f>1-E68</f>
        <v>1</v>
      </c>
      <c r="G68" s="43">
        <v>0.5</v>
      </c>
      <c r="H68" s="43">
        <f t="shared" si="16"/>
        <v>0.5</v>
      </c>
      <c r="I68" s="177"/>
      <c r="J68" s="173"/>
      <c r="K68" s="2"/>
    </row>
    <row r="69" spans="1:11" ht="19" x14ac:dyDescent="0.5">
      <c r="H69" s="44">
        <f>SUM(H64:H68)</f>
        <v>2</v>
      </c>
      <c r="I69" s="44">
        <f>I61</f>
        <v>2</v>
      </c>
    </row>
    <row r="70" spans="1:11" ht="19" x14ac:dyDescent="0.5">
      <c r="A70" s="170" t="s">
        <v>62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</row>
    <row r="71" spans="1:11" ht="19" x14ac:dyDescent="0.5">
      <c r="A71" s="171">
        <v>1</v>
      </c>
      <c r="B71" s="173" t="s">
        <v>489</v>
      </c>
      <c r="C71" s="174" t="s">
        <v>497</v>
      </c>
      <c r="D71" s="174"/>
      <c r="E71" s="174"/>
      <c r="F71" s="174"/>
      <c r="G71" s="174"/>
      <c r="H71" s="4" t="s">
        <v>498</v>
      </c>
      <c r="I71" s="4" t="s">
        <v>499</v>
      </c>
      <c r="J71" s="1" t="s">
        <v>500</v>
      </c>
      <c r="K71" s="1"/>
    </row>
    <row r="72" spans="1:11" ht="19" x14ac:dyDescent="0.5">
      <c r="A72" s="171"/>
      <c r="B72" s="173"/>
      <c r="C72" s="167" t="s">
        <v>19</v>
      </c>
      <c r="D72" s="168"/>
      <c r="E72" s="168"/>
      <c r="F72" s="168"/>
      <c r="G72" s="169"/>
      <c r="H72" s="4"/>
      <c r="I72" s="4"/>
      <c r="J72" s="1"/>
      <c r="K72" s="1"/>
    </row>
    <row r="73" spans="1:11" ht="19" x14ac:dyDescent="0.5">
      <c r="A73" s="172"/>
      <c r="B73" s="173"/>
      <c r="C73" s="170" t="s">
        <v>490</v>
      </c>
      <c r="D73" s="170"/>
      <c r="E73" s="170"/>
      <c r="F73" s="170"/>
      <c r="G73" s="170"/>
      <c r="H73" s="48" t="e">
        <f>'Output-Financial Report'!C20</f>
        <v>#DIV/0!</v>
      </c>
      <c r="I73" s="43" t="e">
        <f>'Output-Financial Report'!E20</f>
        <v>#DIV/0!</v>
      </c>
      <c r="J73" s="42" t="e">
        <f>'Output-Financial Report'!F20</f>
        <v>#DIV/0!</v>
      </c>
      <c r="K73" s="2"/>
    </row>
    <row r="74" spans="1:11" ht="19" x14ac:dyDescent="0.5">
      <c r="A74" s="172"/>
      <c r="B74" s="173"/>
      <c r="C74" s="170" t="s">
        <v>491</v>
      </c>
      <c r="D74" s="170"/>
      <c r="E74" s="170"/>
      <c r="F74" s="170"/>
      <c r="G74" s="170"/>
      <c r="H74" s="48" t="e">
        <f>'Output-Financial Report'!C7</f>
        <v>#DIV/0!</v>
      </c>
      <c r="I74" s="43" t="e">
        <f>'Output-Financial Report'!E7</f>
        <v>#DIV/0!</v>
      </c>
      <c r="J74" s="42" t="e">
        <f>'Output-Financial Report'!F7</f>
        <v>#DIV/0!</v>
      </c>
      <c r="K74" s="2"/>
    </row>
    <row r="75" spans="1:11" ht="19" x14ac:dyDescent="0.5">
      <c r="A75" s="172"/>
      <c r="B75" s="173"/>
      <c r="C75" s="170" t="s">
        <v>492</v>
      </c>
      <c r="D75" s="170"/>
      <c r="E75" s="170"/>
      <c r="F75" s="170"/>
      <c r="G75" s="170"/>
      <c r="H75" s="162" t="e">
        <f>'Output-Financial Report'!C8</f>
        <v>#DIV/0!</v>
      </c>
      <c r="I75" s="43" t="e">
        <f>'Output-Financial Report'!E11</f>
        <v>#DIV/0!</v>
      </c>
      <c r="J75" s="42" t="e">
        <f>'Output-Financial Report'!F8</f>
        <v>#DIV/0!</v>
      </c>
      <c r="K75" s="2"/>
    </row>
    <row r="76" spans="1:11" ht="19" x14ac:dyDescent="0.5">
      <c r="A76" s="172"/>
      <c r="B76" s="173"/>
      <c r="C76" s="170" t="s">
        <v>493</v>
      </c>
      <c r="D76" s="170"/>
      <c r="E76" s="170"/>
      <c r="F76" s="170"/>
      <c r="G76" s="170"/>
      <c r="H76" s="162" t="e">
        <f>'Output-Financial Report'!C9</f>
        <v>#DIV/0!</v>
      </c>
      <c r="I76" s="43" t="e">
        <f>'Output-Financial Report'!E9</f>
        <v>#DIV/0!</v>
      </c>
      <c r="J76" s="42" t="e">
        <f>'Output-Financial Report'!F9</f>
        <v>#DIV/0!</v>
      </c>
      <c r="K76" s="2"/>
    </row>
    <row r="77" spans="1:11" ht="19" x14ac:dyDescent="0.5">
      <c r="A77" s="172"/>
      <c r="B77" s="173"/>
      <c r="C77" s="170" t="s">
        <v>494</v>
      </c>
      <c r="D77" s="170"/>
      <c r="E77" s="170"/>
      <c r="F77" s="170"/>
      <c r="G77" s="170"/>
      <c r="H77" s="162" t="e">
        <f>'Output-Financial Report'!C10</f>
        <v>#DIV/0!</v>
      </c>
      <c r="I77" s="43" t="e">
        <f>'Output-Financial Report'!E10</f>
        <v>#DIV/0!</v>
      </c>
      <c r="J77" s="42" t="e">
        <f>'Output-Financial Report'!F10</f>
        <v>#DIV/0!</v>
      </c>
      <c r="K77" s="2"/>
    </row>
    <row r="78" spans="1:11" ht="19" x14ac:dyDescent="0.5">
      <c r="A78" s="172"/>
      <c r="B78" s="173"/>
      <c r="C78" s="170" t="s">
        <v>495</v>
      </c>
      <c r="D78" s="170"/>
      <c r="E78" s="170"/>
      <c r="F78" s="170"/>
      <c r="G78" s="170"/>
      <c r="H78" s="162" t="e">
        <f>'Output-Financial Report'!C11</f>
        <v>#DIV/0!</v>
      </c>
      <c r="I78" s="43" t="e">
        <f>'Output-Financial Report'!E11</f>
        <v>#DIV/0!</v>
      </c>
      <c r="J78" s="42" t="e">
        <f>'Output-Financial Report'!F11</f>
        <v>#DIV/0!</v>
      </c>
      <c r="K78" s="2"/>
    </row>
    <row r="79" spans="1:11" ht="19" x14ac:dyDescent="0.5">
      <c r="A79" s="172"/>
      <c r="B79" s="173"/>
      <c r="C79" s="170" t="s">
        <v>75</v>
      </c>
      <c r="D79" s="170"/>
      <c r="E79" s="170"/>
      <c r="F79" s="170"/>
      <c r="G79" s="170"/>
      <c r="H79" s="162" t="e">
        <f>'Output-Financial Report'!C12</f>
        <v>#DIV/0!</v>
      </c>
      <c r="I79" s="43" t="e">
        <f>'Output-Financial Report'!E12</f>
        <v>#DIV/0!</v>
      </c>
      <c r="J79" s="42" t="e">
        <f>'Output-Financial Report'!F12</f>
        <v>#DIV/0!</v>
      </c>
      <c r="K79" s="2"/>
    </row>
    <row r="80" spans="1:11" ht="19" x14ac:dyDescent="0.5">
      <c r="A80" s="172"/>
      <c r="B80" s="173"/>
      <c r="C80" s="170" t="s">
        <v>496</v>
      </c>
      <c r="D80" s="170"/>
      <c r="E80" s="170"/>
      <c r="F80" s="170"/>
      <c r="G80" s="170"/>
      <c r="H80" s="162" t="e">
        <f>'Output-Financial Report'!C14</f>
        <v>#DIV/0!</v>
      </c>
      <c r="I80" s="43" t="e">
        <f>'Output-Financial Report'!E14</f>
        <v>#DIV/0!</v>
      </c>
      <c r="J80" s="42" t="e">
        <f>'Output-Financial Report'!F14</f>
        <v>#DIV/0!</v>
      </c>
      <c r="K80" s="2"/>
    </row>
    <row r="81" spans="1:11" x14ac:dyDescent="0.35">
      <c r="A81" s="1"/>
      <c r="B81" s="1"/>
      <c r="C81" s="167" t="s">
        <v>567</v>
      </c>
      <c r="D81" s="168"/>
      <c r="E81" s="168"/>
      <c r="F81" s="168"/>
      <c r="G81" s="169"/>
      <c r="H81" s="1"/>
      <c r="I81" s="1" t="e">
        <f>SUM(I73:I80)</f>
        <v>#DIV/0!</v>
      </c>
      <c r="J81" s="1"/>
      <c r="K81" s="1"/>
    </row>
    <row r="83" spans="1:11" ht="19" x14ac:dyDescent="0.5">
      <c r="A83" s="170" t="s">
        <v>506</v>
      </c>
      <c r="B83" s="170"/>
      <c r="C83" s="170"/>
      <c r="D83" s="170"/>
      <c r="E83" s="170"/>
      <c r="F83" s="170"/>
      <c r="G83" s="170"/>
      <c r="H83" s="170"/>
      <c r="I83" s="170"/>
      <c r="J83" s="170"/>
      <c r="K83" s="170"/>
    </row>
    <row r="84" spans="1:11" ht="19" x14ac:dyDescent="0.5">
      <c r="A84" s="171">
        <v>1</v>
      </c>
      <c r="B84" s="173" t="s">
        <v>507</v>
      </c>
      <c r="C84" s="174" t="s">
        <v>497</v>
      </c>
      <c r="D84" s="174"/>
      <c r="E84" s="174"/>
      <c r="F84" s="174"/>
      <c r="G84" s="174"/>
      <c r="H84" s="4" t="s">
        <v>498</v>
      </c>
      <c r="I84" s="4" t="s">
        <v>499</v>
      </c>
      <c r="J84" s="1" t="s">
        <v>500</v>
      </c>
      <c r="K84" s="1"/>
    </row>
    <row r="85" spans="1:11" ht="19" x14ac:dyDescent="0.5">
      <c r="A85" s="172"/>
      <c r="B85" s="173"/>
      <c r="C85" s="170" t="s">
        <v>442</v>
      </c>
      <c r="D85" s="170"/>
      <c r="E85" s="170"/>
      <c r="F85" s="170"/>
      <c r="G85" s="170"/>
      <c r="H85" s="162" t="e">
        <f>'Output-Financial Report'!C13</f>
        <v>#DIV/0!</v>
      </c>
      <c r="I85" s="43" t="e">
        <f>'Output-Financial Report'!E13</f>
        <v>#DIV/0!</v>
      </c>
      <c r="J85" s="42" t="e">
        <f>'Output-Financial Report'!F13</f>
        <v>#DIV/0!</v>
      </c>
      <c r="K85" s="2"/>
    </row>
    <row r="86" spans="1:11" ht="19" x14ac:dyDescent="0.5">
      <c r="A86" s="172"/>
      <c r="B86" s="173"/>
      <c r="C86" s="170" t="s">
        <v>508</v>
      </c>
      <c r="D86" s="170"/>
      <c r="E86" s="170"/>
      <c r="F86" s="170"/>
      <c r="G86" s="170"/>
      <c r="H86" s="48" t="e">
        <f>'Input-Additional'!B21</f>
        <v>#DIV/0!</v>
      </c>
      <c r="I86" s="43" t="e">
        <f>IF(H86&lt;=0,1.25,IF(H86&lt;=5,2.5,IF(H86&lt;=10,3.75,5)))</f>
        <v>#DIV/0!</v>
      </c>
      <c r="J86" s="42" t="e">
        <f>IF(I86=1.25,"Non-Significant",IF(I86=2.5,"Significant",IF(I86=3.75,"Suspicious",IF(I86=5,"Malignant"))))</f>
        <v>#DIV/0!</v>
      </c>
      <c r="K86" s="2"/>
    </row>
    <row r="87" spans="1:11" ht="19" x14ac:dyDescent="0.5">
      <c r="A87" s="172"/>
      <c r="B87" s="173"/>
      <c r="C87" t="s">
        <v>450</v>
      </c>
      <c r="H87" s="47">
        <f>'Output-Financial Report'!C2</f>
        <v>0</v>
      </c>
      <c r="I87" s="43"/>
      <c r="J87" s="42"/>
      <c r="K87" s="2"/>
    </row>
    <row r="88" spans="1:11" ht="19" x14ac:dyDescent="0.5">
      <c r="A88" s="172"/>
      <c r="B88" s="173"/>
      <c r="C88" t="s">
        <v>451</v>
      </c>
      <c r="H88" s="47">
        <f>'Output-Financial Report'!C3</f>
        <v>0</v>
      </c>
      <c r="I88" s="43"/>
      <c r="J88" s="42"/>
      <c r="K88" s="2"/>
    </row>
    <row r="89" spans="1:11" ht="19" x14ac:dyDescent="0.5">
      <c r="A89" s="172"/>
      <c r="B89" s="173"/>
      <c r="C89" t="s">
        <v>452</v>
      </c>
      <c r="H89" s="47">
        <f>'Output-Financial Report'!C4</f>
        <v>0</v>
      </c>
      <c r="I89" s="43"/>
      <c r="J89" s="42"/>
      <c r="K89" s="2"/>
    </row>
    <row r="90" spans="1:11" ht="19" x14ac:dyDescent="0.5">
      <c r="A90" s="172"/>
      <c r="B90" s="173"/>
      <c r="C90" t="s">
        <v>453</v>
      </c>
      <c r="H90" s="47">
        <f>'Output-Financial Report'!C5</f>
        <v>0</v>
      </c>
      <c r="I90" s="43"/>
      <c r="J90" s="42"/>
      <c r="K90" s="2"/>
    </row>
    <row r="91" spans="1:11" ht="19" x14ac:dyDescent="0.5">
      <c r="A91" s="172"/>
      <c r="B91" s="173"/>
      <c r="C91" s="170" t="s">
        <v>511</v>
      </c>
      <c r="D91" s="170"/>
      <c r="E91" s="170"/>
      <c r="F91" s="170"/>
      <c r="G91" s="170"/>
      <c r="H91" s="47"/>
      <c r="I91" s="43">
        <f>'Output-Financial Report'!E6</f>
        <v>5</v>
      </c>
      <c r="J91" s="42" t="str">
        <f>'Output-Financial Report'!F6</f>
        <v>Malignant</v>
      </c>
      <c r="K91" s="2"/>
    </row>
    <row r="92" spans="1:11" ht="19" x14ac:dyDescent="0.5">
      <c r="A92" s="172"/>
      <c r="B92" s="173"/>
      <c r="C92" s="170" t="s">
        <v>387</v>
      </c>
      <c r="D92" s="170"/>
      <c r="E92" s="170"/>
      <c r="F92" s="170"/>
      <c r="G92" s="170"/>
      <c r="H92" s="47">
        <f>'Output-Financial Report'!C50</f>
        <v>0</v>
      </c>
      <c r="I92" s="43" t="e">
        <f>SUM(I85:I91)</f>
        <v>#DIV/0!</v>
      </c>
      <c r="J92" s="42">
        <f>'Output-Financial Report'!F50</f>
        <v>0</v>
      </c>
      <c r="K92" s="2"/>
    </row>
    <row r="93" spans="1:11" ht="19" x14ac:dyDescent="0.5">
      <c r="A93" s="170" t="s">
        <v>462</v>
      </c>
      <c r="B93" s="170"/>
      <c r="C93" s="170"/>
      <c r="D93" s="170"/>
      <c r="E93" s="170"/>
      <c r="F93" s="170"/>
      <c r="G93" s="170"/>
      <c r="H93" s="170"/>
      <c r="I93" s="170"/>
      <c r="J93" s="170"/>
      <c r="K93" s="170"/>
    </row>
    <row r="94" spans="1:11" ht="19" x14ac:dyDescent="0.5">
      <c r="A94" s="171">
        <v>1</v>
      </c>
      <c r="B94" s="173" t="s">
        <v>512</v>
      </c>
      <c r="C94" s="174" t="s">
        <v>497</v>
      </c>
      <c r="D94" s="174"/>
      <c r="E94" s="174"/>
      <c r="F94" s="174"/>
      <c r="G94" s="174"/>
      <c r="H94" s="4" t="s">
        <v>498</v>
      </c>
      <c r="I94" s="4" t="s">
        <v>499</v>
      </c>
      <c r="J94" s="1" t="s">
        <v>500</v>
      </c>
      <c r="K94" s="1"/>
    </row>
    <row r="95" spans="1:11" ht="19" x14ac:dyDescent="0.5">
      <c r="A95" s="172"/>
      <c r="B95" s="173"/>
      <c r="C95" s="167" t="s">
        <v>460</v>
      </c>
      <c r="D95" s="168"/>
      <c r="E95" s="168"/>
      <c r="F95" s="168"/>
      <c r="G95" s="169"/>
      <c r="H95" s="4" t="e">
        <f>'Output-Financial Report'!C15</f>
        <v>#DIV/0!</v>
      </c>
      <c r="I95" s="5" t="e">
        <f>'Output-Financial Report'!E15</f>
        <v>#DIV/0!</v>
      </c>
      <c r="J95" s="42" t="e">
        <f>'Output-Financial Report'!F15</f>
        <v>#DIV/0!</v>
      </c>
      <c r="K95" s="2"/>
    </row>
    <row r="96" spans="1:11" ht="19" x14ac:dyDescent="0.5">
      <c r="A96" s="172"/>
      <c r="B96" s="173"/>
      <c r="C96" s="167" t="s">
        <v>461</v>
      </c>
      <c r="D96" s="168"/>
      <c r="E96" s="168"/>
      <c r="F96" s="168"/>
      <c r="G96" s="169"/>
      <c r="H96" s="4" t="e">
        <f>'Output-Financial Report'!C16</f>
        <v>#DIV/0!</v>
      </c>
      <c r="I96" s="5" t="e">
        <f>'Output-Financial Report'!E16</f>
        <v>#DIV/0!</v>
      </c>
      <c r="J96" s="42" t="e">
        <f>'Output-Financial Report'!F16</f>
        <v>#DIV/0!</v>
      </c>
      <c r="K96" s="2"/>
    </row>
    <row r="97" spans="1:11" x14ac:dyDescent="0.35">
      <c r="A97" s="1"/>
      <c r="B97" s="1"/>
      <c r="C97" s="167" t="s">
        <v>387</v>
      </c>
      <c r="D97" s="168"/>
      <c r="E97" s="168"/>
      <c r="F97" s="168"/>
      <c r="G97" s="169"/>
      <c r="H97" s="1"/>
      <c r="I97" s="1" t="e">
        <f>SUM(I95:I96)</f>
        <v>#DIV/0!</v>
      </c>
      <c r="J97" s="1"/>
      <c r="K97" s="1"/>
    </row>
    <row r="98" spans="1:11" ht="19" x14ac:dyDescent="0.5">
      <c r="A98" s="170" t="s">
        <v>482</v>
      </c>
      <c r="B98" s="170"/>
      <c r="C98" s="170"/>
      <c r="D98" s="170"/>
      <c r="E98" s="170"/>
      <c r="F98" s="170"/>
      <c r="G98" s="170"/>
      <c r="H98" s="170"/>
      <c r="I98" s="170"/>
      <c r="J98" s="170"/>
      <c r="K98" s="170"/>
    </row>
    <row r="99" spans="1:11" ht="19" x14ac:dyDescent="0.5">
      <c r="A99" s="36"/>
      <c r="B99" s="36"/>
      <c r="C99" s="1" t="s">
        <v>19</v>
      </c>
      <c r="D99" s="1" t="s">
        <v>5</v>
      </c>
      <c r="E99" s="1" t="s">
        <v>6</v>
      </c>
      <c r="F99" s="1" t="s">
        <v>8</v>
      </c>
      <c r="G99" s="1" t="s">
        <v>7</v>
      </c>
      <c r="H99" s="1" t="s">
        <v>17</v>
      </c>
      <c r="I99" s="1" t="s">
        <v>18</v>
      </c>
      <c r="J99" s="36"/>
      <c r="K99" s="36"/>
    </row>
    <row r="100" spans="1:11" ht="19" x14ac:dyDescent="0.5">
      <c r="A100" s="171">
        <v>1</v>
      </c>
      <c r="B100" s="175" t="s">
        <v>63</v>
      </c>
      <c r="C100" s="8" t="s">
        <v>540</v>
      </c>
      <c r="D100" s="5">
        <v>13</v>
      </c>
      <c r="E100" s="4"/>
      <c r="F100" s="4"/>
      <c r="G100" s="4"/>
      <c r="H100" s="4"/>
      <c r="I100" s="176">
        <f>IF(SUM(H100:H106)&lt;1,1,(SUM(H100:H106)))</f>
        <v>2</v>
      </c>
      <c r="J100" s="173" t="str">
        <f>IF(I100&lt;=0.5,"Non-Significant",IF(I100&lt;=1,"Significant",IF(I100&lt;=1.5,"Suspicious","Malignant")))</f>
        <v>Malignant</v>
      </c>
      <c r="K100" s="1"/>
    </row>
    <row r="101" spans="1:11" ht="19" x14ac:dyDescent="0.5">
      <c r="A101" s="172"/>
      <c r="B101" s="175"/>
      <c r="C101" s="4" t="s">
        <v>64</v>
      </c>
      <c r="D101" s="5"/>
      <c r="E101" s="43"/>
      <c r="F101" s="43"/>
      <c r="G101" s="4"/>
      <c r="H101" s="4"/>
      <c r="I101" s="176"/>
      <c r="J101" s="173"/>
      <c r="K101" s="2"/>
    </row>
    <row r="102" spans="1:11" ht="19" x14ac:dyDescent="0.5">
      <c r="A102" s="172"/>
      <c r="B102" s="175"/>
      <c r="C102" s="4" t="s">
        <v>541</v>
      </c>
      <c r="D102" s="48">
        <f>ROUND(D101/D100*100,2)</f>
        <v>0</v>
      </c>
      <c r="E102" s="4"/>
      <c r="F102" s="4"/>
      <c r="G102" s="4"/>
      <c r="H102" s="4">
        <f>IF(D102&lt;100,0.5,0)</f>
        <v>0.5</v>
      </c>
      <c r="I102" s="176"/>
      <c r="J102" s="173"/>
      <c r="K102" s="2" t="str">
        <f>J100</f>
        <v>Malignant</v>
      </c>
    </row>
    <row r="103" spans="1:11" ht="19" x14ac:dyDescent="0.5">
      <c r="A103" s="172"/>
      <c r="B103" s="175"/>
      <c r="C103" s="4" t="s">
        <v>539</v>
      </c>
      <c r="D103" s="5"/>
      <c r="E103" s="4"/>
      <c r="F103" s="4"/>
      <c r="G103" s="4"/>
      <c r="H103" s="4"/>
      <c r="I103" s="176"/>
      <c r="J103" s="173"/>
      <c r="K103" s="2"/>
    </row>
    <row r="104" spans="1:11" ht="19" x14ac:dyDescent="0.5">
      <c r="A104" s="172"/>
      <c r="B104" s="175"/>
      <c r="C104" s="4" t="s">
        <v>65</v>
      </c>
      <c r="D104" s="5"/>
      <c r="E104" s="4"/>
      <c r="F104" s="4"/>
      <c r="G104" s="4"/>
      <c r="H104" s="4"/>
      <c r="I104" s="176"/>
      <c r="J104" s="173"/>
      <c r="K104" s="2"/>
    </row>
    <row r="105" spans="1:11" ht="19" x14ac:dyDescent="0.5">
      <c r="A105" s="172"/>
      <c r="B105" s="175"/>
      <c r="C105" s="4" t="s">
        <v>542</v>
      </c>
      <c r="D105" s="48">
        <f>ROUND(D104/D100*100,2)</f>
        <v>0</v>
      </c>
      <c r="E105" s="4"/>
      <c r="F105" s="4"/>
      <c r="G105" s="4"/>
      <c r="H105" s="4">
        <f>IF(D105&lt;34,0.5,0)</f>
        <v>0.5</v>
      </c>
      <c r="I105" s="176"/>
      <c r="J105" s="173"/>
      <c r="K105" s="2"/>
    </row>
    <row r="106" spans="1:11" ht="19" x14ac:dyDescent="0.5">
      <c r="A106" s="172"/>
      <c r="B106" s="175"/>
      <c r="C106" s="4" t="s">
        <v>66</v>
      </c>
      <c r="D106" s="48" t="s">
        <v>536</v>
      </c>
      <c r="E106" s="4">
        <f>IF(D106="गरेको",1,0)</f>
        <v>0</v>
      </c>
      <c r="F106" s="4">
        <f>1-E106</f>
        <v>1</v>
      </c>
      <c r="G106" s="4">
        <v>1</v>
      </c>
      <c r="H106" s="4">
        <f>F106*G106</f>
        <v>1</v>
      </c>
      <c r="I106" s="176"/>
      <c r="J106" s="173"/>
      <c r="K106" s="2"/>
    </row>
    <row r="107" spans="1:11" x14ac:dyDescent="0.35">
      <c r="H107">
        <f>SUM(H100:H106)</f>
        <v>2</v>
      </c>
      <c r="I107">
        <f>I100</f>
        <v>2</v>
      </c>
    </row>
    <row r="108" spans="1:11" ht="19" x14ac:dyDescent="0.5">
      <c r="A108" s="170" t="s">
        <v>488</v>
      </c>
      <c r="B108" s="170"/>
      <c r="C108" s="170"/>
      <c r="D108" s="170"/>
      <c r="E108" s="170"/>
      <c r="F108" s="170"/>
      <c r="G108" s="170"/>
      <c r="H108" s="170"/>
      <c r="I108" s="170"/>
      <c r="J108" s="170"/>
      <c r="K108" s="170"/>
    </row>
    <row r="109" spans="1:11" ht="19" x14ac:dyDescent="0.5">
      <c r="A109" s="36"/>
      <c r="B109" s="36"/>
      <c r="C109" s="1" t="s">
        <v>19</v>
      </c>
      <c r="D109" s="1" t="s">
        <v>5</v>
      </c>
      <c r="E109" s="1" t="s">
        <v>6</v>
      </c>
      <c r="F109" s="1" t="s">
        <v>8</v>
      </c>
      <c r="G109" s="1" t="s">
        <v>7</v>
      </c>
      <c r="H109" s="1" t="s">
        <v>17</v>
      </c>
      <c r="I109" s="1" t="s">
        <v>18</v>
      </c>
      <c r="J109" s="36"/>
      <c r="K109" s="36"/>
    </row>
    <row r="110" spans="1:11" ht="19" x14ac:dyDescent="0.5">
      <c r="A110" s="171">
        <v>1</v>
      </c>
      <c r="B110" s="175" t="s">
        <v>487</v>
      </c>
      <c r="C110" s="8" t="s">
        <v>483</v>
      </c>
      <c r="D110" s="4">
        <v>1</v>
      </c>
      <c r="E110" s="5"/>
      <c r="F110" s="4">
        <f>D110-E110</f>
        <v>1</v>
      </c>
      <c r="G110" s="4">
        <v>0.5</v>
      </c>
      <c r="H110" s="43">
        <f t="shared" ref="H110" si="17">F110*G110</f>
        <v>0.5</v>
      </c>
      <c r="I110" s="177">
        <f>IF(SUM(H110:H113)&lt;0.5,0.5,(SUM(H110:H113)))</f>
        <v>2</v>
      </c>
      <c r="J110" s="173" t="str">
        <f>IF(I110&lt;=0.5,"Non-Significant",IF(I110&lt;=1,"Significant",IF(I110&lt;=1.5,"Suspicious","Malignant")))</f>
        <v>Malignant</v>
      </c>
      <c r="K110" s="1"/>
    </row>
    <row r="111" spans="1:11" ht="19" x14ac:dyDescent="0.5">
      <c r="A111" s="172"/>
      <c r="B111" s="175"/>
      <c r="C111" s="4" t="s">
        <v>484</v>
      </c>
      <c r="D111" s="4">
        <v>1</v>
      </c>
      <c r="E111" s="5"/>
      <c r="F111" s="4">
        <f>D111-E111</f>
        <v>1</v>
      </c>
      <c r="G111" s="4">
        <v>0.5</v>
      </c>
      <c r="H111" s="43">
        <f t="shared" ref="H111:H113" si="18">F111*G111</f>
        <v>0.5</v>
      </c>
      <c r="I111" s="177"/>
      <c r="J111" s="173"/>
      <c r="K111" s="2" t="str">
        <f>J110</f>
        <v>Malignant</v>
      </c>
    </row>
    <row r="112" spans="1:11" ht="19" x14ac:dyDescent="0.5">
      <c r="A112" s="172"/>
      <c r="B112" s="175"/>
      <c r="C112" s="4" t="s">
        <v>485</v>
      </c>
      <c r="D112" s="4">
        <v>1</v>
      </c>
      <c r="E112" s="5"/>
      <c r="F112" s="4">
        <f>D112-E112</f>
        <v>1</v>
      </c>
      <c r="G112" s="4">
        <v>0.5</v>
      </c>
      <c r="H112" s="43">
        <f t="shared" si="18"/>
        <v>0.5</v>
      </c>
      <c r="I112" s="177"/>
      <c r="J112" s="173"/>
      <c r="K112" s="2"/>
    </row>
    <row r="113" spans="1:11" ht="19" x14ac:dyDescent="0.5">
      <c r="A113" s="172"/>
      <c r="B113" s="175"/>
      <c r="C113" s="4" t="s">
        <v>486</v>
      </c>
      <c r="D113" s="4">
        <v>1</v>
      </c>
      <c r="E113" s="5"/>
      <c r="F113" s="4">
        <f>D113-E113</f>
        <v>1</v>
      </c>
      <c r="G113" s="4">
        <v>0.5</v>
      </c>
      <c r="H113" s="43">
        <f t="shared" si="18"/>
        <v>0.5</v>
      </c>
      <c r="I113" s="177"/>
      <c r="J113" s="173"/>
      <c r="K113" s="2"/>
    </row>
    <row r="114" spans="1:11" ht="19" x14ac:dyDescent="0.5">
      <c r="A114" s="1"/>
      <c r="B114" s="1"/>
      <c r="C114" s="1"/>
      <c r="D114" s="1"/>
      <c r="E114" s="1"/>
      <c r="F114" s="1"/>
      <c r="G114" s="1"/>
      <c r="H114" s="43">
        <f>SUM(H110:H113)</f>
        <v>2</v>
      </c>
      <c r="I114" s="43">
        <f>SUM(I110:I113)</f>
        <v>2</v>
      </c>
      <c r="J114" s="1"/>
      <c r="K114" s="1"/>
    </row>
    <row r="116" spans="1:11" ht="19" x14ac:dyDescent="0.5">
      <c r="A116" s="170" t="s">
        <v>521</v>
      </c>
      <c r="B116" s="170"/>
      <c r="C116" s="170"/>
      <c r="D116" s="170"/>
      <c r="E116" s="170"/>
      <c r="F116" s="170"/>
      <c r="G116" s="170"/>
      <c r="H116" s="170"/>
      <c r="I116" s="170"/>
      <c r="J116" s="170"/>
      <c r="K116" s="170"/>
    </row>
    <row r="117" spans="1:11" ht="19" x14ac:dyDescent="0.5">
      <c r="A117" s="36"/>
      <c r="B117" s="36"/>
      <c r="C117" s="1" t="s">
        <v>19</v>
      </c>
      <c r="D117" s="1" t="s">
        <v>5</v>
      </c>
      <c r="E117" s="1" t="s">
        <v>6</v>
      </c>
      <c r="F117" s="1" t="s">
        <v>8</v>
      </c>
      <c r="G117" s="1" t="s">
        <v>7</v>
      </c>
      <c r="H117" s="1" t="s">
        <v>17</v>
      </c>
      <c r="I117" s="1" t="s">
        <v>18</v>
      </c>
      <c r="J117" s="36"/>
      <c r="K117" s="36"/>
    </row>
    <row r="118" spans="1:11" ht="38" x14ac:dyDescent="0.5">
      <c r="A118" s="171">
        <v>1</v>
      </c>
      <c r="B118" s="175" t="s">
        <v>513</v>
      </c>
      <c r="C118" s="8" t="s">
        <v>514</v>
      </c>
      <c r="D118" s="5" t="s">
        <v>543</v>
      </c>
      <c r="E118" s="4">
        <f>IF(D118="भएको",1,0)</f>
        <v>1</v>
      </c>
      <c r="F118" s="4">
        <f>1-E118</f>
        <v>0</v>
      </c>
      <c r="G118" s="4">
        <v>0.5</v>
      </c>
      <c r="H118" s="43">
        <f t="shared" ref="H118:H120" si="19">F118*G118</f>
        <v>0</v>
      </c>
      <c r="I118" s="177" t="e">
        <f>IF(SUM(H118:H122)&lt;0.5,0.5,(SUM(H118:H122)))</f>
        <v>#DIV/0!</v>
      </c>
      <c r="J118" s="173" t="e">
        <f>IF(I118&lt;=0.5,"Non-Significant",IF(I118&lt;=1,"Significant",IF(I118&lt;=1.5,"Suspicious","Malignant")))</f>
        <v>#DIV/0!</v>
      </c>
      <c r="K118" s="1"/>
    </row>
    <row r="119" spans="1:11" ht="19" x14ac:dyDescent="0.5">
      <c r="A119" s="172"/>
      <c r="B119" s="175"/>
      <c r="C119" s="4" t="s">
        <v>515</v>
      </c>
      <c r="D119" s="5" t="s">
        <v>544</v>
      </c>
      <c r="E119" s="4">
        <f>IF(OR(D119="भएको",D119="निर्वाचन वर्ष नभएको"),1,0)</f>
        <v>1</v>
      </c>
      <c r="F119" s="4">
        <f>1-E119</f>
        <v>0</v>
      </c>
      <c r="G119" s="4">
        <v>0.5</v>
      </c>
      <c r="H119" s="43">
        <f t="shared" si="19"/>
        <v>0</v>
      </c>
      <c r="I119" s="177"/>
      <c r="J119" s="173"/>
      <c r="K119" s="2" t="e">
        <f>J118</f>
        <v>#DIV/0!</v>
      </c>
    </row>
    <row r="120" spans="1:11" ht="19" x14ac:dyDescent="0.5">
      <c r="A120" s="172"/>
      <c r="B120" s="175"/>
      <c r="C120" s="4" t="s">
        <v>516</v>
      </c>
      <c r="D120" s="5">
        <f>'Input-Additional'!B9</f>
        <v>0</v>
      </c>
      <c r="E120" s="4"/>
      <c r="F120" s="4"/>
      <c r="G120" s="4"/>
      <c r="H120" s="43">
        <f t="shared" si="19"/>
        <v>0</v>
      </c>
      <c r="I120" s="177"/>
      <c r="J120" s="173"/>
      <c r="K120" s="2"/>
    </row>
    <row r="121" spans="1:11" ht="19" x14ac:dyDescent="0.5">
      <c r="A121" s="172"/>
      <c r="B121" s="175"/>
      <c r="C121" s="4" t="s">
        <v>517</v>
      </c>
      <c r="D121" s="5">
        <f>'Input-Additional'!B10</f>
        <v>0</v>
      </c>
      <c r="E121" s="4"/>
      <c r="F121" s="4"/>
      <c r="G121" s="4"/>
      <c r="H121" s="43"/>
      <c r="I121" s="177"/>
      <c r="J121" s="173"/>
      <c r="K121" s="2"/>
    </row>
    <row r="122" spans="1:11" ht="19" x14ac:dyDescent="0.5">
      <c r="A122" s="172"/>
      <c r="B122" s="175"/>
      <c r="C122" s="4" t="s">
        <v>518</v>
      </c>
      <c r="D122" s="48" t="e">
        <f>ROUND(D121/D120*100,2)</f>
        <v>#DIV/0!</v>
      </c>
      <c r="E122" s="4"/>
      <c r="F122" s="4"/>
      <c r="G122" s="4"/>
      <c r="H122" s="43" t="e">
        <f>IF(D122&lt;51,1,IF(D122&lt;=60,0.75,IF(D122&lt;=67,0.5,IF(D122&gt;67,0.25))))</f>
        <v>#DIV/0!</v>
      </c>
      <c r="I122" s="177"/>
      <c r="J122" s="173"/>
      <c r="K122" s="2"/>
    </row>
    <row r="123" spans="1:11" ht="19" x14ac:dyDescent="0.5">
      <c r="A123" s="56"/>
      <c r="B123" s="58"/>
      <c r="C123" s="4" t="s">
        <v>573</v>
      </c>
      <c r="D123" s="4"/>
      <c r="E123" s="4"/>
      <c r="F123" s="4"/>
      <c r="G123" s="4"/>
      <c r="H123" s="43" t="e">
        <f>SUM(H118:H122)</f>
        <v>#DIV/0!</v>
      </c>
      <c r="I123" s="43" t="e">
        <f>SUM(I118:I122)</f>
        <v>#DIV/0!</v>
      </c>
      <c r="J123" s="57"/>
      <c r="K123" s="2"/>
    </row>
    <row r="125" spans="1:11" ht="19" x14ac:dyDescent="0.5">
      <c r="A125" s="170" t="s">
        <v>482</v>
      </c>
      <c r="B125" s="170"/>
      <c r="C125" s="170"/>
      <c r="D125" s="170"/>
      <c r="E125" s="170"/>
      <c r="F125" s="170"/>
      <c r="G125" s="170"/>
      <c r="H125" s="170"/>
      <c r="I125" s="170"/>
      <c r="J125" s="170"/>
      <c r="K125" s="170"/>
    </row>
    <row r="126" spans="1:11" ht="19" x14ac:dyDescent="0.5">
      <c r="A126" s="36"/>
      <c r="B126" s="36"/>
      <c r="C126" s="1" t="s">
        <v>19</v>
      </c>
      <c r="D126" s="1" t="s">
        <v>5</v>
      </c>
      <c r="E126" s="1" t="s">
        <v>6</v>
      </c>
      <c r="F126" s="1" t="s">
        <v>8</v>
      </c>
      <c r="G126" s="1" t="s">
        <v>7</v>
      </c>
      <c r="H126" s="1" t="s">
        <v>17</v>
      </c>
      <c r="I126" s="1" t="s">
        <v>18</v>
      </c>
      <c r="J126" s="36"/>
      <c r="K126" s="36"/>
    </row>
    <row r="127" spans="1:11" ht="38" customHeight="1" x14ac:dyDescent="0.5">
      <c r="A127" s="171">
        <v>1</v>
      </c>
      <c r="B127" s="175" t="s">
        <v>522</v>
      </c>
      <c r="C127" s="8" t="s">
        <v>523</v>
      </c>
      <c r="D127" s="5"/>
      <c r="E127" s="4">
        <f>IF(D127="गरिएको",1,0)</f>
        <v>0</v>
      </c>
      <c r="F127" s="4">
        <f>1-E127</f>
        <v>1</v>
      </c>
      <c r="G127" s="43">
        <v>0.5</v>
      </c>
      <c r="H127" s="43">
        <f t="shared" ref="H127:H128" si="20">F127*G127</f>
        <v>0.5</v>
      </c>
      <c r="I127" s="176">
        <f>IF(SUM(H127:H130)&lt;1,1,(SUM(H127:H130)))</f>
        <v>2</v>
      </c>
      <c r="J127" s="173" t="str">
        <f>IF(I127&lt;=0.5,"Non-Significant",IF(I127&lt;=1,"Significant",IF(I127&lt;=1.5,"Suspicious","Malignant")))</f>
        <v>Malignant</v>
      </c>
      <c r="K127" s="1"/>
    </row>
    <row r="128" spans="1:11" ht="19" x14ac:dyDescent="0.5">
      <c r="A128" s="172"/>
      <c r="B128" s="175"/>
      <c r="C128" s="4" t="s">
        <v>524</v>
      </c>
      <c r="D128" s="5"/>
      <c r="E128" s="4">
        <f>IF(D128="दिइएको",1,0)</f>
        <v>0</v>
      </c>
      <c r="F128" s="4">
        <f>1-E128</f>
        <v>1</v>
      </c>
      <c r="G128" s="43">
        <v>1</v>
      </c>
      <c r="H128" s="43">
        <f t="shared" si="20"/>
        <v>1</v>
      </c>
      <c r="I128" s="176"/>
      <c r="J128" s="173"/>
      <c r="K128" s="2" t="str">
        <f>J127</f>
        <v>Malignant</v>
      </c>
    </row>
    <row r="129" spans="1:11" ht="38" x14ac:dyDescent="0.5">
      <c r="A129" s="172"/>
      <c r="B129" s="175"/>
      <c r="C129" s="8" t="s">
        <v>525</v>
      </c>
      <c r="D129" s="5"/>
      <c r="E129" s="4">
        <f>IF(D129="पुगेको",1,0)</f>
        <v>0</v>
      </c>
      <c r="F129" s="4">
        <f>1-E129</f>
        <v>1</v>
      </c>
      <c r="G129" s="43">
        <v>0.5</v>
      </c>
      <c r="H129" s="43">
        <f t="shared" ref="H129" si="21">F129*G129</f>
        <v>0.5</v>
      </c>
      <c r="I129" s="176"/>
      <c r="J129" s="173"/>
      <c r="K129" s="2"/>
    </row>
    <row r="130" spans="1:11" ht="38" x14ac:dyDescent="0.5">
      <c r="A130" s="172"/>
      <c r="B130" s="175"/>
      <c r="C130" s="8" t="s">
        <v>526</v>
      </c>
      <c r="D130" s="4"/>
      <c r="E130" s="4"/>
      <c r="F130" s="4"/>
      <c r="G130" s="43"/>
      <c r="H130" s="43"/>
      <c r="I130" s="176"/>
      <c r="J130" s="173"/>
      <c r="K130" s="2"/>
    </row>
    <row r="131" spans="1:11" x14ac:dyDescent="0.35">
      <c r="A131" s="1"/>
      <c r="B131" s="1"/>
      <c r="C131" s="1"/>
      <c r="D131" s="1"/>
      <c r="E131" s="1"/>
      <c r="F131" s="1"/>
      <c r="G131" s="1"/>
      <c r="H131" s="1">
        <f>SUM(H127:H130)</f>
        <v>2</v>
      </c>
      <c r="I131" s="1">
        <f>SUM(I127:I130)</f>
        <v>2</v>
      </c>
      <c r="J131" s="1"/>
      <c r="K131" s="1"/>
    </row>
    <row r="133" spans="1:11" ht="19" x14ac:dyDescent="0.5">
      <c r="A133" s="170" t="s">
        <v>482</v>
      </c>
      <c r="B133" s="170"/>
      <c r="C133" s="170"/>
      <c r="D133" s="170"/>
      <c r="E133" s="170"/>
      <c r="F133" s="170"/>
      <c r="G133" s="170"/>
      <c r="H133" s="170"/>
      <c r="I133" s="170"/>
      <c r="J133" s="170"/>
      <c r="K133" s="170"/>
    </row>
    <row r="134" spans="1:11" ht="19" x14ac:dyDescent="0.5">
      <c r="A134" s="36"/>
      <c r="B134" s="36"/>
      <c r="C134" s="1" t="s">
        <v>19</v>
      </c>
      <c r="D134" s="1" t="s">
        <v>5</v>
      </c>
      <c r="E134" s="1" t="s">
        <v>6</v>
      </c>
      <c r="F134" s="1" t="s">
        <v>8</v>
      </c>
      <c r="G134" s="1" t="s">
        <v>7</v>
      </c>
      <c r="H134" s="1" t="s">
        <v>17</v>
      </c>
      <c r="I134" s="1" t="s">
        <v>18</v>
      </c>
      <c r="J134" s="36"/>
      <c r="K134" s="36"/>
    </row>
    <row r="135" spans="1:11" ht="19" x14ac:dyDescent="0.5">
      <c r="A135" s="171">
        <v>1</v>
      </c>
      <c r="B135" s="175" t="s">
        <v>527</v>
      </c>
      <c r="C135" s="8" t="s">
        <v>528</v>
      </c>
      <c r="D135" s="4"/>
      <c r="E135" s="4"/>
      <c r="F135" s="4"/>
      <c r="G135" s="4"/>
      <c r="H135" s="43"/>
      <c r="I135" s="176">
        <f>IF(SUM(H135:H140)&lt;1,1,(SUM(H135:H140)))</f>
        <v>2</v>
      </c>
      <c r="J135" s="173" t="str">
        <f>IF(I135&lt;=0.5,"Non-Significant",IF(I135&lt;=1,"Significant",IF(I135&lt;=1.5,"Suspicious","Malignant")))</f>
        <v>Malignant</v>
      </c>
      <c r="K135" s="1"/>
    </row>
    <row r="136" spans="1:11" ht="19" x14ac:dyDescent="0.5">
      <c r="A136" s="171"/>
      <c r="B136" s="175"/>
      <c r="C136" s="8" t="s">
        <v>532</v>
      </c>
      <c r="D136" s="5"/>
      <c r="E136" s="4">
        <f>IF(D136="भएको",1,0)</f>
        <v>0</v>
      </c>
      <c r="F136" s="4">
        <f>1-E136</f>
        <v>1</v>
      </c>
      <c r="G136" s="4">
        <v>0.75</v>
      </c>
      <c r="H136" s="43">
        <f t="shared" ref="H136:H140" si="22">F136*G136</f>
        <v>0.75</v>
      </c>
      <c r="I136" s="176"/>
      <c r="J136" s="173"/>
      <c r="K136" s="1"/>
    </row>
    <row r="137" spans="1:11" ht="19" x14ac:dyDescent="0.5">
      <c r="A137" s="172"/>
      <c r="B137" s="175"/>
      <c r="C137" s="4" t="s">
        <v>595</v>
      </c>
      <c r="D137" s="5"/>
      <c r="E137" s="4">
        <f>IF(D137="हो",1,0)</f>
        <v>0</v>
      </c>
      <c r="F137" s="4">
        <f>1-E137</f>
        <v>1</v>
      </c>
      <c r="G137" s="4">
        <v>0.25</v>
      </c>
      <c r="H137" s="43">
        <f t="shared" si="22"/>
        <v>0.25</v>
      </c>
      <c r="I137" s="176"/>
      <c r="J137" s="173"/>
      <c r="K137" s="2" t="str">
        <f>J135</f>
        <v>Malignant</v>
      </c>
    </row>
    <row r="138" spans="1:11" ht="19" x14ac:dyDescent="0.5">
      <c r="A138" s="172"/>
      <c r="B138" s="175"/>
      <c r="C138" s="4" t="s">
        <v>529</v>
      </c>
      <c r="D138" s="5"/>
      <c r="E138" s="4">
        <f>IF(D138="हो",1,0)</f>
        <v>0</v>
      </c>
      <c r="F138" s="4">
        <f>1-E138</f>
        <v>1</v>
      </c>
      <c r="G138" s="4">
        <v>0.5</v>
      </c>
      <c r="H138" s="43">
        <f t="shared" si="22"/>
        <v>0.5</v>
      </c>
      <c r="I138" s="176"/>
      <c r="J138" s="173"/>
      <c r="K138" s="2"/>
    </row>
    <row r="139" spans="1:11" ht="19" x14ac:dyDescent="0.5">
      <c r="A139" s="172"/>
      <c r="B139" s="175"/>
      <c r="C139" s="4" t="s">
        <v>530</v>
      </c>
      <c r="D139" s="5"/>
      <c r="E139" s="4">
        <f>IF(D139="छ",1,0)</f>
        <v>0</v>
      </c>
      <c r="F139" s="4">
        <f>1-E139</f>
        <v>1</v>
      </c>
      <c r="G139" s="4">
        <v>0.25</v>
      </c>
      <c r="H139" s="43">
        <f t="shared" si="22"/>
        <v>0.25</v>
      </c>
      <c r="I139" s="176"/>
      <c r="J139" s="173"/>
      <c r="K139" s="2"/>
    </row>
    <row r="140" spans="1:11" ht="19" x14ac:dyDescent="0.5">
      <c r="A140" s="172"/>
      <c r="B140" s="175"/>
      <c r="C140" s="4" t="s">
        <v>531</v>
      </c>
      <c r="D140" s="5"/>
      <c r="E140" s="4">
        <f>IF(D140="छ",1,0)</f>
        <v>0</v>
      </c>
      <c r="F140" s="4">
        <f>1-E140</f>
        <v>1</v>
      </c>
      <c r="G140" s="4">
        <v>0.25</v>
      </c>
      <c r="H140" s="43">
        <f t="shared" si="22"/>
        <v>0.25</v>
      </c>
      <c r="I140" s="176"/>
      <c r="J140" s="173"/>
      <c r="K140" s="2"/>
    </row>
    <row r="141" spans="1:11" ht="19" x14ac:dyDescent="0.5">
      <c r="A141" s="1"/>
      <c r="B141" s="1"/>
      <c r="C141" s="1"/>
      <c r="D141" s="1"/>
      <c r="E141" s="1"/>
      <c r="F141" s="1"/>
      <c r="G141" s="1"/>
      <c r="H141" s="43">
        <f>SUM(H135:H140)</f>
        <v>2</v>
      </c>
      <c r="I141" s="43">
        <f>SUM(I135:I140)</f>
        <v>2</v>
      </c>
      <c r="J141" s="1"/>
      <c r="K141" s="1"/>
    </row>
    <row r="143" spans="1:11" ht="19" x14ac:dyDescent="0.5">
      <c r="A143" s="170" t="s">
        <v>533</v>
      </c>
      <c r="B143" s="170"/>
      <c r="C143" s="170"/>
      <c r="D143" s="170"/>
      <c r="E143" s="170"/>
      <c r="F143" s="170"/>
      <c r="G143" s="170"/>
      <c r="H143" s="170"/>
      <c r="I143" s="170"/>
      <c r="J143" s="170"/>
      <c r="K143" s="170"/>
    </row>
    <row r="144" spans="1:11" ht="19" x14ac:dyDescent="0.5">
      <c r="A144" s="171">
        <v>1</v>
      </c>
      <c r="B144" s="173" t="s">
        <v>533</v>
      </c>
      <c r="C144" s="174" t="s">
        <v>497</v>
      </c>
      <c r="D144" s="174"/>
      <c r="E144" s="174"/>
      <c r="F144" s="174"/>
      <c r="G144" s="174"/>
      <c r="H144" s="4" t="s">
        <v>498</v>
      </c>
      <c r="I144" s="43" t="s">
        <v>499</v>
      </c>
      <c r="J144" s="46" t="s">
        <v>500</v>
      </c>
      <c r="K144" s="1"/>
    </row>
    <row r="145" spans="1:11" ht="19" x14ac:dyDescent="0.5">
      <c r="A145" s="172"/>
      <c r="B145" s="173"/>
      <c r="C145" s="167" t="s">
        <v>471</v>
      </c>
      <c r="D145" s="168"/>
      <c r="E145" s="168"/>
      <c r="F145" s="168"/>
      <c r="G145" s="169"/>
      <c r="H145" s="48" t="e">
        <f>'Output-Financial Report'!C18</f>
        <v>#DIV/0!</v>
      </c>
      <c r="I145" s="43" t="e">
        <f>'Output-Financial Report'!E18</f>
        <v>#DIV/0!</v>
      </c>
      <c r="J145" s="43" t="e">
        <f>'Output-Financial Report'!F18</f>
        <v>#DIV/0!</v>
      </c>
      <c r="K145" s="2"/>
    </row>
    <row r="146" spans="1:11" ht="19" x14ac:dyDescent="0.5">
      <c r="A146" s="172"/>
      <c r="B146" s="173"/>
      <c r="C146" s="167" t="s">
        <v>534</v>
      </c>
      <c r="D146" s="168"/>
      <c r="E146" s="168"/>
      <c r="F146" s="168"/>
      <c r="G146" s="169"/>
      <c r="H146" s="48" t="e">
        <f>'Output-Financial Report'!C19</f>
        <v>#DIV/0!</v>
      </c>
      <c r="I146" s="43" t="e">
        <f>'Output-Financial Report'!E19</f>
        <v>#DIV/0!</v>
      </c>
      <c r="J146" s="43" t="e">
        <f>'Output-Financial Report'!F19</f>
        <v>#DIV/0!</v>
      </c>
      <c r="K146" s="2"/>
    </row>
    <row r="147" spans="1:11" x14ac:dyDescent="0.35">
      <c r="A147" s="63"/>
      <c r="B147" s="64" t="s">
        <v>584</v>
      </c>
      <c r="C147" s="63"/>
      <c r="D147" s="63"/>
      <c r="E147" s="63"/>
      <c r="F147" s="63"/>
      <c r="G147" s="63"/>
      <c r="I147" t="e">
        <f>SUM(I145:I146)</f>
        <v>#DIV/0!</v>
      </c>
    </row>
    <row r="148" spans="1:11" x14ac:dyDescent="0.35">
      <c r="A148" s="63"/>
      <c r="B148" s="64" t="s">
        <v>585</v>
      </c>
      <c r="C148" s="63"/>
      <c r="D148" s="63"/>
      <c r="E148" s="63" t="s">
        <v>586</v>
      </c>
      <c r="F148" s="63"/>
      <c r="G148" s="63"/>
    </row>
  </sheetData>
  <customSheetViews>
    <customSheetView guid="{B03DA2A8-6E10-4AC8-B8E9-08273B4719D3}" scale="104" topLeftCell="A21">
      <selection activeCell="E22" sqref="E22"/>
      <rowBreaks count="4" manualBreakCount="4">
        <brk id="27" max="16383" man="1"/>
        <brk id="55" max="16383" man="1"/>
        <brk id="90" max="16383" man="1"/>
        <brk id="122" max="16383" man="1"/>
      </rowBreaks>
      <pageMargins left="0.7" right="0.7" top="0.28999999999999998" bottom="0.36" header="0.3" footer="0.3"/>
      <pageSetup scale="81" orientation="landscape" horizontalDpi="0" verticalDpi="0" r:id="rId1"/>
    </customSheetView>
    <customSheetView guid="{AF169707-4E0F-443B-AC54-AEDA2A2EE592}" scale="104" topLeftCell="A21">
      <selection activeCell="E22" sqref="E22"/>
      <rowBreaks count="4" manualBreakCount="4">
        <brk id="27" max="16383" man="1"/>
        <brk id="55" max="16383" man="1"/>
        <brk id="90" max="16383" man="1"/>
        <brk id="122" max="16383" man="1"/>
      </rowBreaks>
      <pageMargins left="0.7" right="0.7" top="0.28999999999999998" bottom="0.36" header="0.3" footer="0.3"/>
      <pageSetup scale="81" orientation="landscape" horizontalDpi="0" verticalDpi="0" r:id="rId2"/>
    </customSheetView>
    <customSheetView guid="{9C839773-0576-4D5E-B841-6D274CD2DC85}" scale="104" topLeftCell="A21">
      <selection activeCell="E22" sqref="E22"/>
      <rowBreaks count="4" manualBreakCount="4">
        <brk id="27" max="16383" man="1"/>
        <brk id="55" max="16383" man="1"/>
        <brk id="90" max="16383" man="1"/>
        <brk id="122" max="16383" man="1"/>
      </rowBreaks>
      <pageMargins left="0.7" right="0.7" top="0.28999999999999998" bottom="0.36" header="0.3" footer="0.3"/>
      <pageSetup scale="81" orientation="landscape" horizontalDpi="0" verticalDpi="0" r:id="rId3"/>
    </customSheetView>
    <customSheetView guid="{25DE02B3-1CDA-48F7-89E3-3677026220D5}" scale="104" topLeftCell="A21">
      <selection activeCell="E22" sqref="E22"/>
      <rowBreaks count="4" manualBreakCount="4">
        <brk id="27" max="16383" man="1"/>
        <brk id="55" max="16383" man="1"/>
        <brk id="90" max="16383" man="1"/>
        <brk id="122" max="16383" man="1"/>
      </rowBreaks>
      <pageMargins left="0.7" right="0.7" top="0.28999999999999998" bottom="0.36" header="0.3" footer="0.3"/>
      <pageSetup scale="81" orientation="landscape" horizontalDpi="0" verticalDpi="0" r:id="rId4"/>
    </customSheetView>
  </customSheetViews>
  <mergeCells count="93">
    <mergeCell ref="C1:H1"/>
    <mergeCell ref="D2:H2"/>
    <mergeCell ref="C81:G81"/>
    <mergeCell ref="A70:K70"/>
    <mergeCell ref="A71:A80"/>
    <mergeCell ref="B71:B80"/>
    <mergeCell ref="C71:G71"/>
    <mergeCell ref="C73:G73"/>
    <mergeCell ref="C72:G72"/>
    <mergeCell ref="C79:G79"/>
    <mergeCell ref="C80:G80"/>
    <mergeCell ref="C74:G74"/>
    <mergeCell ref="C75:G75"/>
    <mergeCell ref="C76:G76"/>
    <mergeCell ref="C77:G77"/>
    <mergeCell ref="C78:G78"/>
    <mergeCell ref="A108:K108"/>
    <mergeCell ref="A110:A113"/>
    <mergeCell ref="B110:B113"/>
    <mergeCell ref="I110:I113"/>
    <mergeCell ref="J110:J113"/>
    <mergeCell ref="B100:B106"/>
    <mergeCell ref="J100:J106"/>
    <mergeCell ref="A98:K98"/>
    <mergeCell ref="A100:A106"/>
    <mergeCell ref="I100:I106"/>
    <mergeCell ref="A59:K59"/>
    <mergeCell ref="A61:A68"/>
    <mergeCell ref="B61:B68"/>
    <mergeCell ref="I61:I68"/>
    <mergeCell ref="J61:J68"/>
    <mergeCell ref="A31:K31"/>
    <mergeCell ref="A33:A37"/>
    <mergeCell ref="B33:B37"/>
    <mergeCell ref="I10:I18"/>
    <mergeCell ref="B10:B18"/>
    <mergeCell ref="A10:A18"/>
    <mergeCell ref="J10:J18"/>
    <mergeCell ref="I33:I37"/>
    <mergeCell ref="J33:J37"/>
    <mergeCell ref="A8:K8"/>
    <mergeCell ref="A20:K20"/>
    <mergeCell ref="A22:A27"/>
    <mergeCell ref="B22:B28"/>
    <mergeCell ref="I22:I28"/>
    <mergeCell ref="J22:J28"/>
    <mergeCell ref="A39:K39"/>
    <mergeCell ref="A41:A45"/>
    <mergeCell ref="B41:B45"/>
    <mergeCell ref="I41:I45"/>
    <mergeCell ref="J41:J45"/>
    <mergeCell ref="E41:F41"/>
    <mergeCell ref="A48:K48"/>
    <mergeCell ref="A50:A56"/>
    <mergeCell ref="B50:B56"/>
    <mergeCell ref="I50:I56"/>
    <mergeCell ref="J50:J56"/>
    <mergeCell ref="A83:K83"/>
    <mergeCell ref="A84:A92"/>
    <mergeCell ref="B84:B92"/>
    <mergeCell ref="C84:G84"/>
    <mergeCell ref="C85:G85"/>
    <mergeCell ref="C86:G86"/>
    <mergeCell ref="C91:G91"/>
    <mergeCell ref="C92:G92"/>
    <mergeCell ref="A93:K93"/>
    <mergeCell ref="A94:A96"/>
    <mergeCell ref="B94:B96"/>
    <mergeCell ref="C94:G94"/>
    <mergeCell ref="C95:G95"/>
    <mergeCell ref="C96:G96"/>
    <mergeCell ref="A125:K125"/>
    <mergeCell ref="A116:K116"/>
    <mergeCell ref="A118:A122"/>
    <mergeCell ref="B118:B122"/>
    <mergeCell ref="I118:I122"/>
    <mergeCell ref="J118:J122"/>
    <mergeCell ref="C97:G97"/>
    <mergeCell ref="A143:K143"/>
    <mergeCell ref="A144:A146"/>
    <mergeCell ref="B144:B146"/>
    <mergeCell ref="C144:G144"/>
    <mergeCell ref="C145:G145"/>
    <mergeCell ref="C146:G146"/>
    <mergeCell ref="A133:K133"/>
    <mergeCell ref="A135:A140"/>
    <mergeCell ref="B135:B140"/>
    <mergeCell ref="I135:I140"/>
    <mergeCell ref="J135:J140"/>
    <mergeCell ref="A127:A130"/>
    <mergeCell ref="B127:B130"/>
    <mergeCell ref="I127:I130"/>
    <mergeCell ref="J127:J130"/>
  </mergeCells>
  <dataValidations count="11">
    <dataValidation type="list" allowBlank="1" showInputMessage="1" showErrorMessage="1" sqref="D33 D36:D37 D50:D51 D118 D136" xr:uid="{2AB9BBDD-A065-461B-BF36-55E395C34E12}">
      <formula1>"भएको, नभएको "</formula1>
    </dataValidation>
    <dataValidation type="list" allowBlank="1" showInputMessage="1" showErrorMessage="1" sqref="D34" xr:uid="{52678D7A-12EB-4829-B85B-244DF4DC1D73}">
      <formula1>"तोकिएको, नतोकिएको "</formula1>
    </dataValidation>
    <dataValidation type="list" allowBlank="1" showInputMessage="1" showErrorMessage="1" sqref="D35" xr:uid="{CD9E6C3B-0D21-48C3-B3F1-5C048F35F7CD}">
      <formula1>"Unqualified, Qualified, Adverse, Disclaimer"</formula1>
    </dataValidation>
    <dataValidation type="list" allowBlank="1" showInputMessage="1" showErrorMessage="1" sqref="D119" xr:uid="{2D233B2B-7F66-4905-BB5A-094C4F10F446}">
      <formula1>"निर्वाचन वर्ष नभएको, भएको, नभएको "</formula1>
    </dataValidation>
    <dataValidation type="list" allowBlank="1" showInputMessage="1" showErrorMessage="1" sqref="D64 D68 D106" xr:uid="{7A7D9BC1-293C-4B74-80D3-D17E46D032AE}">
      <formula1>"गरेको, नगरेको"</formula1>
    </dataValidation>
    <dataValidation type="list" allowBlank="1" showInputMessage="1" showErrorMessage="1" sqref="D65 D128" xr:uid="{3C017287-8BB6-4A5B-BB31-620A14AB0F95}">
      <formula1>"दिइएको, नदिइएको"</formula1>
    </dataValidation>
    <dataValidation type="list" allowBlank="1" showInputMessage="1" showErrorMessage="1" sqref="D66" xr:uid="{D65EE976-16B1-4594-B2E1-7EDE0C5F394F}">
      <formula1>"गएको, नगएको "</formula1>
    </dataValidation>
    <dataValidation type="list" allowBlank="1" showInputMessage="1" showErrorMessage="1" sqref="D137:D138" xr:uid="{3E9F9115-9A32-44E2-9745-9078679EC6C0}">
      <formula1>"हो, होइन"</formula1>
    </dataValidation>
    <dataValidation type="list" allowBlank="1" showInputMessage="1" showErrorMessage="1" sqref="D139:D140" xr:uid="{CC63CC74-A35F-4159-B9D6-8883DF6B7868}">
      <formula1>"छ, छैन"</formula1>
    </dataValidation>
    <dataValidation type="list" allowBlank="1" showInputMessage="1" showErrorMessage="1" sqref="D127" xr:uid="{A7D06FA3-2593-4376-AF08-8CA12507E0E8}">
      <formula1>" गरिएको, नगरिएको "</formula1>
    </dataValidation>
    <dataValidation type="list" allowBlank="1" showInputMessage="1" showErrorMessage="1" sqref="D129" xr:uid="{D8BE6937-2FA9-4349-B4BD-FE6CFA8D9676}">
      <formula1>"पुगेको, नपुगेको"</formula1>
    </dataValidation>
  </dataValidations>
  <pageMargins left="0.7" right="0.7" top="0.28999999999999998" bottom="0.36" header="0.3" footer="0.3"/>
  <pageSetup scale="81" orientation="landscape" horizontalDpi="0" verticalDpi="0" r:id="rId5"/>
  <rowBreaks count="4" manualBreakCount="4">
    <brk id="29" max="16383" man="1"/>
    <brk id="57" max="16383" man="1"/>
    <brk id="92" max="16383" man="1"/>
    <brk id="12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73CA7358-53D5-4BB9-80B9-9B526DD50667}">
            <xm:f>NOT(ISERROR(SEARCH($J$10="Non Signficant",J144)))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J144:K144</xm:sqref>
        </x14:conditionalFormatting>
        <x14:conditionalFormatting xmlns:xm="http://schemas.microsoft.com/office/excel/2006/main">
          <x14:cfRule type="containsText" priority="21" operator="containsText" id="{535470FC-DF18-4D2E-BF3F-03F42EADE4D4}">
            <xm:f>NOT(ISERROR(SEARCH($J$10="Non Signficant",K10)))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K10:K18</xm:sqref>
        </x14:conditionalFormatting>
        <x14:conditionalFormatting xmlns:xm="http://schemas.microsoft.com/office/excel/2006/main">
          <x14:cfRule type="containsText" priority="8" operator="containsText" id="{CF57038A-227A-4034-97D9-B0F63CEEC8DB}">
            <xm:f>NOT(ISERROR(SEARCH($J$10="Non Signficant",K22)))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K22:K28</xm:sqref>
        </x14:conditionalFormatting>
        <x14:conditionalFormatting xmlns:xm="http://schemas.microsoft.com/office/excel/2006/main">
          <x14:cfRule type="containsText" priority="17" operator="containsText" id="{45A168D3-189C-49DD-A6AF-47988C99A8CC}">
            <xm:f>NOT(ISERROR(SEARCH($J$10="Non Signficant",K33)))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K33:K37</xm:sqref>
        </x14:conditionalFormatting>
        <x14:conditionalFormatting xmlns:xm="http://schemas.microsoft.com/office/excel/2006/main">
          <x14:cfRule type="containsText" priority="7" operator="containsText" id="{9C5730A2-4236-4860-B36D-FAAA6333515D}">
            <xm:f>NOT(ISERROR(SEARCH($J$10="Non Signficant",J41)))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K41:K45 J71:K80 J84:K92 J94:K96 K100:K106 K135:K140 K145:K146</xm:sqref>
        </x14:conditionalFormatting>
        <x14:conditionalFormatting xmlns:xm="http://schemas.microsoft.com/office/excel/2006/main">
          <x14:cfRule type="containsText" priority="15" operator="containsText" id="{C5D14C76-16D0-4E48-9EF7-57004456DEB8}">
            <xm:f>NOT(ISERROR(SEARCH($J$10="Non Signficant",K50)))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K50:K56</xm:sqref>
        </x14:conditionalFormatting>
        <x14:conditionalFormatting xmlns:xm="http://schemas.microsoft.com/office/excel/2006/main">
          <x14:cfRule type="containsText" priority="14" operator="containsText" id="{51573611-0DD8-4953-83B4-40F6028AEC34}">
            <xm:f>NOT(ISERROR(SEARCH($J$10="Non Signficant",K61)))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K61:K68</xm:sqref>
        </x14:conditionalFormatting>
        <x14:conditionalFormatting xmlns:xm="http://schemas.microsoft.com/office/excel/2006/main">
          <x14:cfRule type="containsText" priority="12" operator="containsText" id="{DEE6316C-3B62-482E-9180-B287D9EE597F}">
            <xm:f>NOT(ISERROR(SEARCH($J$10="Non Signficant",K110)))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K110:K113</xm:sqref>
        </x14:conditionalFormatting>
        <x14:conditionalFormatting xmlns:xm="http://schemas.microsoft.com/office/excel/2006/main">
          <x14:cfRule type="containsText" priority="5" operator="containsText" id="{66D14936-17A3-40F0-AEE6-AD7EE178CAA2}">
            <xm:f>NOT(ISERROR(SEARCH($J$10="Non Signficant",K118)))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K118:K123</xm:sqref>
        </x14:conditionalFormatting>
        <x14:conditionalFormatting xmlns:xm="http://schemas.microsoft.com/office/excel/2006/main">
          <x14:cfRule type="containsText" priority="3" operator="containsText" id="{99AB3978-68C0-437F-8F04-6B0074376249}">
            <xm:f>NOT(ISERROR(SEARCH($J$10="Non Signficant",K127)))</xm:f>
            <xm:f>$J$10="Non Signficant"</xm:f>
            <x14:dxf>
              <fill>
                <patternFill>
                  <bgColor rgb="FF00B050"/>
                </patternFill>
              </fill>
            </x14:dxf>
          </x14:cfRule>
          <xm:sqref>K127:K130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74A71-00C3-4A1B-9D3B-F36812E45648}">
  <dimension ref="A1:F84"/>
  <sheetViews>
    <sheetView topLeftCell="A6" workbookViewId="0">
      <selection activeCell="A17" sqref="A17"/>
    </sheetView>
  </sheetViews>
  <sheetFormatPr defaultRowHeight="14.5" x14ac:dyDescent="0.35"/>
  <cols>
    <col min="1" max="1" width="5" bestFit="1" customWidth="1"/>
    <col min="2" max="2" width="48" customWidth="1"/>
    <col min="3" max="3" width="8" bestFit="1" customWidth="1"/>
    <col min="4" max="4" width="12.81640625" bestFit="1" customWidth="1"/>
    <col min="5" max="5" width="11" customWidth="1"/>
    <col min="6" max="6" width="51.1796875" customWidth="1"/>
  </cols>
  <sheetData>
    <row r="1" spans="1:6" ht="24.5" x14ac:dyDescent="0.45">
      <c r="A1" s="191" t="s">
        <v>618</v>
      </c>
      <c r="B1" s="191"/>
      <c r="C1" s="191"/>
      <c r="D1" s="191"/>
      <c r="E1" s="191"/>
      <c r="F1" s="191"/>
    </row>
    <row r="2" spans="1:6" ht="22" x14ac:dyDescent="0.4">
      <c r="A2" s="192" t="s">
        <v>619</v>
      </c>
      <c r="B2" s="192"/>
      <c r="C2" s="192"/>
      <c r="D2" s="192"/>
      <c r="E2" s="192"/>
      <c r="F2" s="192"/>
    </row>
    <row r="3" spans="1:6" ht="22" x14ac:dyDescent="0.4">
      <c r="A3" s="193" t="s">
        <v>620</v>
      </c>
      <c r="B3" s="193"/>
      <c r="C3" s="193"/>
      <c r="D3" s="193"/>
      <c r="E3" s="193"/>
      <c r="F3" s="193"/>
    </row>
    <row r="4" spans="1:6" ht="24.5" x14ac:dyDescent="0.45">
      <c r="A4" s="194" t="s">
        <v>621</v>
      </c>
      <c r="B4" s="195"/>
      <c r="C4" s="195"/>
      <c r="D4" s="195"/>
      <c r="E4" s="195"/>
      <c r="F4" s="195"/>
    </row>
    <row r="5" spans="1:6" ht="18.5" x14ac:dyDescent="0.35">
      <c r="A5" s="196" t="s">
        <v>622</v>
      </c>
      <c r="B5" s="196"/>
      <c r="C5" s="196"/>
      <c r="D5" s="196"/>
      <c r="E5" s="196"/>
      <c r="F5" s="117" t="s">
        <v>623</v>
      </c>
    </row>
    <row r="6" spans="1:6" ht="18.5" x14ac:dyDescent="0.35">
      <c r="A6" s="117" t="s">
        <v>624</v>
      </c>
      <c r="B6" s="117"/>
      <c r="C6" s="117" t="s">
        <v>625</v>
      </c>
      <c r="D6" s="117"/>
      <c r="E6" s="117"/>
      <c r="F6" s="117" t="s">
        <v>626</v>
      </c>
    </row>
    <row r="7" spans="1:6" ht="18.5" x14ac:dyDescent="0.35">
      <c r="A7" s="197" t="s">
        <v>627</v>
      </c>
      <c r="B7" s="197"/>
      <c r="C7" s="197"/>
      <c r="D7" s="197"/>
      <c r="E7" s="197"/>
      <c r="F7" s="197"/>
    </row>
    <row r="8" spans="1:6" ht="35" x14ac:dyDescent="0.35">
      <c r="A8" s="118" t="s">
        <v>628</v>
      </c>
      <c r="B8" s="119" t="s">
        <v>629</v>
      </c>
      <c r="C8" s="120" t="s">
        <v>630</v>
      </c>
      <c r="D8" s="120" t="s">
        <v>631</v>
      </c>
      <c r="E8" s="120" t="s">
        <v>632</v>
      </c>
      <c r="F8" s="120" t="s">
        <v>633</v>
      </c>
    </row>
    <row r="9" spans="1:6" ht="23.5" x14ac:dyDescent="0.35">
      <c r="A9" s="198" t="s">
        <v>634</v>
      </c>
      <c r="B9" s="199"/>
      <c r="C9" s="199"/>
      <c r="D9" s="199"/>
      <c r="E9" s="199"/>
      <c r="F9" s="199"/>
    </row>
    <row r="10" spans="1:6" ht="17" x14ac:dyDescent="0.35">
      <c r="A10" s="121">
        <v>1</v>
      </c>
      <c r="B10" t="s">
        <v>699</v>
      </c>
      <c r="C10" s="122">
        <v>3</v>
      </c>
      <c r="D10" s="148">
        <f>'Output-Financial Report'!C2</f>
        <v>0</v>
      </c>
      <c r="E10" s="152"/>
      <c r="F10" s="123"/>
    </row>
    <row r="11" spans="1:6" ht="17" x14ac:dyDescent="0.35">
      <c r="A11" s="121">
        <v>2</v>
      </c>
      <c r="B11" t="s">
        <v>700</v>
      </c>
      <c r="C11" s="122">
        <v>2</v>
      </c>
      <c r="D11" s="148">
        <f>'Output-Financial Report'!C3</f>
        <v>0</v>
      </c>
      <c r="E11" s="152"/>
      <c r="F11" s="123"/>
    </row>
    <row r="12" spans="1:6" ht="17" x14ac:dyDescent="0.35">
      <c r="A12" s="121">
        <v>3</v>
      </c>
      <c r="B12" t="s">
        <v>701</v>
      </c>
      <c r="C12" s="122">
        <v>1</v>
      </c>
      <c r="D12" s="148">
        <f>'Output-Financial Report'!C4</f>
        <v>0</v>
      </c>
      <c r="E12" s="152"/>
      <c r="F12" s="123"/>
    </row>
    <row r="13" spans="1:6" ht="17" x14ac:dyDescent="0.35">
      <c r="A13" s="121"/>
      <c r="B13" t="s">
        <v>702</v>
      </c>
      <c r="C13" s="122">
        <v>1</v>
      </c>
      <c r="D13" s="148">
        <f>ROUND('Output-Financial Report'!C5,2)</f>
        <v>0</v>
      </c>
      <c r="E13" s="152"/>
      <c r="F13" s="123"/>
    </row>
    <row r="14" spans="1:6" ht="17" x14ac:dyDescent="0.35">
      <c r="A14" s="121"/>
      <c r="B14" t="s">
        <v>707</v>
      </c>
      <c r="C14" s="122">
        <v>1</v>
      </c>
      <c r="D14" s="148">
        <f>'Output-PEARLS'!F12</f>
        <v>0</v>
      </c>
      <c r="E14" s="152"/>
      <c r="F14" s="123"/>
    </row>
    <row r="15" spans="1:6" ht="17" x14ac:dyDescent="0.35">
      <c r="A15" s="121">
        <v>4</v>
      </c>
      <c r="B15" s="149" t="s">
        <v>706</v>
      </c>
      <c r="C15" s="122">
        <v>1</v>
      </c>
      <c r="D15" s="150">
        <f>'Output-PEARLS'!F13</f>
        <v>0</v>
      </c>
      <c r="E15" s="152"/>
      <c r="F15" s="123"/>
    </row>
    <row r="16" spans="1:6" ht="17" x14ac:dyDescent="0.35">
      <c r="A16" s="121">
        <v>5</v>
      </c>
      <c r="B16" s="124" t="s">
        <v>635</v>
      </c>
      <c r="C16" s="122">
        <v>2</v>
      </c>
      <c r="D16" s="150" t="e">
        <f>'Output-PEARLS'!F14</f>
        <v>#DIV/0!</v>
      </c>
      <c r="E16" s="152"/>
      <c r="F16" s="123"/>
    </row>
    <row r="17" spans="1:6" ht="17" x14ac:dyDescent="0.35">
      <c r="A17" s="121">
        <v>6</v>
      </c>
      <c r="B17" s="124" t="s">
        <v>636</v>
      </c>
      <c r="C17" s="122">
        <v>2</v>
      </c>
      <c r="D17" s="151" t="e">
        <f>'Output-PEARLS'!F17</f>
        <v>#DIV/0!</v>
      </c>
      <c r="E17" s="152"/>
      <c r="F17" s="123"/>
    </row>
    <row r="18" spans="1:6" ht="17" x14ac:dyDescent="0.35">
      <c r="A18" s="121"/>
      <c r="B18" s="124" t="s">
        <v>712</v>
      </c>
      <c r="C18" s="122">
        <v>1</v>
      </c>
      <c r="D18" s="151" t="e">
        <f>'Output-PEARLS'!F18</f>
        <v>#DIV/0!</v>
      </c>
      <c r="E18" s="152"/>
      <c r="F18" s="123"/>
    </row>
    <row r="19" spans="1:6" ht="17" x14ac:dyDescent="0.35">
      <c r="A19" s="121">
        <v>7</v>
      </c>
      <c r="B19" s="124" t="s">
        <v>713</v>
      </c>
      <c r="C19" s="122">
        <v>1</v>
      </c>
      <c r="D19" s="151" t="e">
        <f>'Output-PEARLS'!F19</f>
        <v>#DIV/0!</v>
      </c>
      <c r="E19" s="152"/>
      <c r="F19" s="123"/>
    </row>
    <row r="20" spans="1:6" ht="17" x14ac:dyDescent="0.35">
      <c r="A20" s="121">
        <v>8</v>
      </c>
      <c r="B20" s="124" t="s">
        <v>637</v>
      </c>
      <c r="C20" s="122">
        <v>2</v>
      </c>
      <c r="D20" s="151" t="e">
        <f>'Output-PEARLS'!F22</f>
        <v>#DIV/0!</v>
      </c>
      <c r="E20" s="152"/>
      <c r="F20" s="123"/>
    </row>
    <row r="21" spans="1:6" ht="17" x14ac:dyDescent="0.35">
      <c r="A21" s="121">
        <v>9</v>
      </c>
      <c r="B21" s="124" t="s">
        <v>638</v>
      </c>
      <c r="C21" s="122">
        <v>2</v>
      </c>
      <c r="D21" s="151" t="e">
        <f>'Output-PEARLS'!F23</f>
        <v>#DIV/0!</v>
      </c>
      <c r="E21" s="152"/>
      <c r="F21" s="123"/>
    </row>
    <row r="22" spans="1:6" ht="17" x14ac:dyDescent="0.35">
      <c r="A22" s="121">
        <v>10</v>
      </c>
      <c r="B22" s="124" t="s">
        <v>639</v>
      </c>
      <c r="C22" s="122">
        <v>2</v>
      </c>
      <c r="D22" s="151" t="e">
        <f>'Output-PEARLS'!F24</f>
        <v>#DIV/0!</v>
      </c>
      <c r="E22" s="152"/>
      <c r="F22" s="123"/>
    </row>
    <row r="23" spans="1:6" ht="17" x14ac:dyDescent="0.35">
      <c r="A23" s="121">
        <v>11</v>
      </c>
      <c r="B23" s="124" t="s">
        <v>640</v>
      </c>
      <c r="C23" s="122">
        <v>2</v>
      </c>
      <c r="D23" s="151" t="e">
        <f>'Output-PEARLS'!F25</f>
        <v>#DIV/0!</v>
      </c>
      <c r="E23" s="152"/>
      <c r="F23" s="123"/>
    </row>
    <row r="24" spans="1:6" ht="33" x14ac:dyDescent="0.35">
      <c r="A24" s="121">
        <v>12</v>
      </c>
      <c r="B24" s="124" t="s">
        <v>641</v>
      </c>
      <c r="C24" s="122">
        <v>3</v>
      </c>
      <c r="D24" s="151" t="e">
        <f>'Output-PEARLS'!F27</f>
        <v>#DIV/0!</v>
      </c>
      <c r="E24" s="152"/>
      <c r="F24" s="123"/>
    </row>
    <row r="25" spans="1:6" ht="17" x14ac:dyDescent="0.35">
      <c r="A25" s="121">
        <v>13</v>
      </c>
      <c r="B25" s="124" t="s">
        <v>642</v>
      </c>
      <c r="C25" s="122">
        <v>3</v>
      </c>
      <c r="D25" s="151" t="e">
        <f>'Output-PEARLS'!F29</f>
        <v>#DIV/0!</v>
      </c>
      <c r="E25" s="152"/>
      <c r="F25" s="123"/>
    </row>
    <row r="26" spans="1:6" ht="17" x14ac:dyDescent="0.35">
      <c r="A26" s="121">
        <v>14</v>
      </c>
      <c r="B26" s="124" t="s">
        <v>643</v>
      </c>
      <c r="C26" s="122">
        <v>2</v>
      </c>
      <c r="D26" s="151" t="e">
        <f>'Output-PEARLS'!F30</f>
        <v>#DIV/0!</v>
      </c>
      <c r="E26" s="152"/>
      <c r="F26" s="123"/>
    </row>
    <row r="27" spans="1:6" ht="33" x14ac:dyDescent="0.35">
      <c r="A27" s="121">
        <v>15</v>
      </c>
      <c r="B27" s="124" t="s">
        <v>644</v>
      </c>
      <c r="C27" s="122">
        <v>2</v>
      </c>
      <c r="D27" s="151" t="e">
        <f>'Output-PEARLS'!F31</f>
        <v>#DIV/0!</v>
      </c>
      <c r="E27" s="152"/>
      <c r="F27" s="123"/>
    </row>
    <row r="28" spans="1:6" ht="33" x14ac:dyDescent="0.35">
      <c r="A28" s="121">
        <v>16</v>
      </c>
      <c r="B28" s="124" t="s">
        <v>645</v>
      </c>
      <c r="C28" s="122">
        <v>1</v>
      </c>
      <c r="D28" s="150" t="e">
        <f>'Output-PEARLS'!F33</f>
        <v>#DIV/0!</v>
      </c>
      <c r="E28" s="152"/>
      <c r="F28" s="123"/>
    </row>
    <row r="29" spans="1:6" ht="17" x14ac:dyDescent="0.35">
      <c r="A29" s="121"/>
      <c r="B29" s="124" t="s">
        <v>714</v>
      </c>
      <c r="C29" s="122">
        <v>1</v>
      </c>
      <c r="D29" s="150" t="e">
        <f>'Output-PEARLS'!F34</f>
        <v>#DIV/0!</v>
      </c>
      <c r="E29" s="152"/>
      <c r="F29" s="123"/>
    </row>
    <row r="30" spans="1:6" ht="17" x14ac:dyDescent="0.35">
      <c r="A30" s="121">
        <v>17</v>
      </c>
      <c r="B30" s="124" t="s">
        <v>715</v>
      </c>
      <c r="C30" s="122">
        <v>1</v>
      </c>
      <c r="D30" s="150" t="e">
        <f>'Output-PEARLS'!F35</f>
        <v>#DIV/0!</v>
      </c>
      <c r="E30" s="152"/>
      <c r="F30" s="123"/>
    </row>
    <row r="31" spans="1:6" ht="17" x14ac:dyDescent="0.35">
      <c r="A31" s="121"/>
      <c r="B31" s="124" t="s">
        <v>717</v>
      </c>
      <c r="C31" s="122">
        <v>1</v>
      </c>
      <c r="D31" s="150" t="e">
        <f>'Output-PEARLS'!F36</f>
        <v>#DIV/0!</v>
      </c>
      <c r="E31" s="152"/>
      <c r="F31" s="123"/>
    </row>
    <row r="32" spans="1:6" ht="33" x14ac:dyDescent="0.35">
      <c r="A32" s="121">
        <v>18</v>
      </c>
      <c r="B32" s="124" t="s">
        <v>718</v>
      </c>
      <c r="C32" s="122">
        <v>1</v>
      </c>
      <c r="D32" s="150">
        <f>'Output-PEARLS'!F37</f>
        <v>0</v>
      </c>
      <c r="E32" s="152"/>
      <c r="F32" s="123"/>
    </row>
    <row r="33" spans="1:6" ht="17" x14ac:dyDescent="0.35">
      <c r="A33" s="121">
        <v>19</v>
      </c>
      <c r="B33" s="124" t="s">
        <v>646</v>
      </c>
      <c r="C33" s="122">
        <v>1</v>
      </c>
      <c r="D33" s="150" t="e">
        <f>'Input-TB'!D58/('Input-TB'!C43+'Input-TB'!D11)/2*100</f>
        <v>#DIV/0!</v>
      </c>
      <c r="E33" s="152"/>
      <c r="F33" s="123"/>
    </row>
    <row r="34" spans="1:6" ht="17" x14ac:dyDescent="0.35">
      <c r="A34" s="121">
        <v>20</v>
      </c>
      <c r="B34" s="124" t="s">
        <v>647</v>
      </c>
      <c r="C34" s="122">
        <v>2</v>
      </c>
      <c r="D34" s="150" t="e">
        <f>'Output-PEARLS'!F38</f>
        <v>#DIV/0!</v>
      </c>
      <c r="E34" s="152"/>
      <c r="F34" s="123"/>
    </row>
    <row r="35" spans="1:6" ht="17" x14ac:dyDescent="0.35">
      <c r="A35" s="121">
        <v>21</v>
      </c>
      <c r="B35" s="124" t="s">
        <v>648</v>
      </c>
      <c r="C35" s="122">
        <v>1</v>
      </c>
      <c r="D35" s="150" t="e">
        <f>'Output-PEARLS'!F39</f>
        <v>#DIV/0!</v>
      </c>
      <c r="E35" s="152"/>
      <c r="F35" s="123"/>
    </row>
    <row r="36" spans="1:6" ht="17" x14ac:dyDescent="0.35">
      <c r="A36" s="121">
        <v>22</v>
      </c>
      <c r="B36" s="124" t="s">
        <v>649</v>
      </c>
      <c r="C36" s="122">
        <v>2</v>
      </c>
      <c r="D36" s="150" t="e">
        <f>'Output-PEARLS'!F41</f>
        <v>#DIV/0!</v>
      </c>
      <c r="E36" s="152"/>
      <c r="F36" s="123"/>
    </row>
    <row r="37" spans="1:6" ht="17" x14ac:dyDescent="0.35">
      <c r="A37" s="121">
        <v>23</v>
      </c>
      <c r="B37" s="124" t="s">
        <v>650</v>
      </c>
      <c r="C37" s="122">
        <v>2</v>
      </c>
      <c r="D37" s="150" t="e">
        <f>'Output-PEARLS'!F42</f>
        <v>#DIV/0!</v>
      </c>
      <c r="E37" s="152"/>
      <c r="F37" s="123"/>
    </row>
    <row r="38" spans="1:6" ht="17" x14ac:dyDescent="0.35">
      <c r="A38" s="121">
        <v>24</v>
      </c>
      <c r="B38" s="124" t="s">
        <v>651</v>
      </c>
      <c r="C38" s="122">
        <v>2</v>
      </c>
      <c r="D38" s="150" t="e">
        <f>'Output-PEARLS'!F44</f>
        <v>#DIV/0!</v>
      </c>
      <c r="E38" s="152"/>
      <c r="F38" s="123"/>
    </row>
    <row r="39" spans="1:6" ht="17" x14ac:dyDescent="0.35">
      <c r="A39" s="121">
        <v>25</v>
      </c>
      <c r="B39" s="124" t="s">
        <v>652</v>
      </c>
      <c r="C39" s="122">
        <v>2</v>
      </c>
      <c r="D39" s="150" t="e">
        <f>'Output-PEARLS'!F45</f>
        <v>#DIV/0!</v>
      </c>
      <c r="E39" s="152"/>
      <c r="F39" s="123"/>
    </row>
    <row r="40" spans="1:6" ht="19" x14ac:dyDescent="0.5">
      <c r="A40" s="189" t="s">
        <v>653</v>
      </c>
      <c r="B40" s="189"/>
      <c r="C40" s="125">
        <f>SUM(C10:C39)</f>
        <v>50</v>
      </c>
      <c r="D40" s="125"/>
      <c r="E40" s="125">
        <f>SUM(E10:E39)</f>
        <v>0</v>
      </c>
      <c r="F40" s="126"/>
    </row>
    <row r="41" spans="1:6" ht="23.5" x14ac:dyDescent="0.35">
      <c r="A41" s="199" t="s">
        <v>654</v>
      </c>
      <c r="B41" s="199"/>
      <c r="C41" s="199"/>
      <c r="D41" s="199"/>
      <c r="E41" s="199"/>
      <c r="F41" s="199"/>
    </row>
    <row r="42" spans="1:6" ht="18.5" x14ac:dyDescent="0.35">
      <c r="A42" s="200" t="s">
        <v>655</v>
      </c>
      <c r="B42" s="200"/>
      <c r="C42" s="200"/>
      <c r="D42" s="200"/>
      <c r="E42" s="200"/>
      <c r="F42" s="200"/>
    </row>
    <row r="43" spans="1:6" ht="32" x14ac:dyDescent="0.5">
      <c r="A43" s="121">
        <v>26</v>
      </c>
      <c r="B43" s="127" t="s">
        <v>656</v>
      </c>
      <c r="C43" s="188">
        <v>2</v>
      </c>
      <c r="D43" s="188"/>
      <c r="E43" s="153"/>
      <c r="F43" s="128"/>
    </row>
    <row r="44" spans="1:6" ht="17" x14ac:dyDescent="0.35">
      <c r="A44" s="121">
        <v>27</v>
      </c>
      <c r="B44" s="127" t="s">
        <v>657</v>
      </c>
      <c r="C44" s="122">
        <v>4</v>
      </c>
      <c r="D44" s="150" t="e">
        <f>'Output-MCI'!C13</f>
        <v>#DIV/0!</v>
      </c>
      <c r="E44" s="152"/>
      <c r="F44" s="123"/>
    </row>
    <row r="45" spans="1:6" ht="17" x14ac:dyDescent="0.35">
      <c r="A45" s="121">
        <v>28</v>
      </c>
      <c r="B45" s="127" t="s">
        <v>658</v>
      </c>
      <c r="C45" s="122">
        <v>4</v>
      </c>
      <c r="D45" s="150" t="e">
        <f>'Output-MCI'!C22</f>
        <v>#DIV/0!</v>
      </c>
      <c r="E45" s="152"/>
      <c r="F45" s="123"/>
    </row>
    <row r="46" spans="1:6" ht="17" x14ac:dyDescent="0.35">
      <c r="A46" s="121">
        <v>29</v>
      </c>
      <c r="B46" s="127" t="s">
        <v>659</v>
      </c>
      <c r="C46" s="122">
        <v>4</v>
      </c>
      <c r="D46" s="150" t="e">
        <f>'Output-MCI'!C27</f>
        <v>#DIV/0!</v>
      </c>
      <c r="E46" s="152"/>
      <c r="F46" s="123"/>
    </row>
    <row r="47" spans="1:6" ht="17" x14ac:dyDescent="0.35">
      <c r="A47" s="121">
        <v>30</v>
      </c>
      <c r="B47" s="127" t="s">
        <v>660</v>
      </c>
      <c r="C47" s="188">
        <v>1</v>
      </c>
      <c r="D47" s="188"/>
      <c r="E47" s="152"/>
      <c r="F47" s="123"/>
    </row>
    <row r="48" spans="1:6" ht="17" x14ac:dyDescent="0.35">
      <c r="A48" s="121">
        <v>31</v>
      </c>
      <c r="B48" s="127" t="s">
        <v>661</v>
      </c>
      <c r="C48" s="188">
        <v>2</v>
      </c>
      <c r="D48" s="188"/>
      <c r="E48" s="152"/>
      <c r="F48" s="123"/>
    </row>
    <row r="49" spans="1:6" ht="18" x14ac:dyDescent="0.5">
      <c r="A49" s="189" t="s">
        <v>662</v>
      </c>
      <c r="B49" s="189"/>
      <c r="C49" s="190">
        <f>SUM(C43:C48)</f>
        <v>17</v>
      </c>
      <c r="D49" s="190"/>
      <c r="E49" s="129">
        <f>SUM(E43:E48)</f>
        <v>0</v>
      </c>
      <c r="F49" s="130"/>
    </row>
    <row r="50" spans="1:6" ht="15.5" x14ac:dyDescent="0.35">
      <c r="A50" s="201" t="s">
        <v>663</v>
      </c>
      <c r="B50" s="201"/>
      <c r="C50" s="201"/>
      <c r="D50" s="201"/>
      <c r="E50" s="201"/>
      <c r="F50" s="201"/>
    </row>
    <row r="51" spans="1:6" ht="17" x14ac:dyDescent="0.35">
      <c r="A51" s="121">
        <v>32</v>
      </c>
      <c r="B51" s="127" t="s">
        <v>664</v>
      </c>
      <c r="C51" s="202">
        <v>2</v>
      </c>
      <c r="D51" s="202"/>
      <c r="E51" s="152"/>
      <c r="F51" s="128"/>
    </row>
    <row r="52" spans="1:6" ht="17" x14ac:dyDescent="0.35">
      <c r="A52" s="121">
        <v>33</v>
      </c>
      <c r="B52" s="127" t="s">
        <v>665</v>
      </c>
      <c r="C52" s="203">
        <v>2</v>
      </c>
      <c r="D52" s="203"/>
      <c r="E52" s="154"/>
      <c r="F52" s="128"/>
    </row>
    <row r="53" spans="1:6" ht="17" x14ac:dyDescent="0.35">
      <c r="A53" s="121">
        <v>34</v>
      </c>
      <c r="B53" s="127" t="s">
        <v>666</v>
      </c>
      <c r="C53" s="203">
        <v>2</v>
      </c>
      <c r="D53" s="203"/>
      <c r="E53" s="154"/>
      <c r="F53" s="128"/>
    </row>
    <row r="54" spans="1:6" ht="17" x14ac:dyDescent="0.35">
      <c r="A54" s="121">
        <v>35</v>
      </c>
      <c r="B54" s="127" t="s">
        <v>667</v>
      </c>
      <c r="C54" s="188">
        <v>1</v>
      </c>
      <c r="D54" s="188"/>
      <c r="E54" s="155"/>
      <c r="F54" s="128"/>
    </row>
    <row r="55" spans="1:6" ht="17" x14ac:dyDescent="0.35">
      <c r="A55" s="121">
        <v>36</v>
      </c>
      <c r="B55" s="127" t="s">
        <v>668</v>
      </c>
      <c r="C55" s="188">
        <v>2</v>
      </c>
      <c r="D55" s="188"/>
      <c r="E55" s="155"/>
      <c r="F55" s="128"/>
    </row>
    <row r="56" spans="1:6" ht="17" x14ac:dyDescent="0.35">
      <c r="A56" s="121">
        <v>37</v>
      </c>
      <c r="B56" s="127" t="s">
        <v>669</v>
      </c>
      <c r="C56" s="188">
        <v>3</v>
      </c>
      <c r="D56" s="188"/>
      <c r="E56" s="154"/>
      <c r="F56" s="128"/>
    </row>
    <row r="57" spans="1:6" ht="32.5" x14ac:dyDescent="0.35">
      <c r="A57" s="121">
        <v>38</v>
      </c>
      <c r="B57" s="131" t="s">
        <v>670</v>
      </c>
      <c r="C57" s="188">
        <v>2</v>
      </c>
      <c r="D57" s="188"/>
      <c r="E57" s="154"/>
      <c r="F57" s="128"/>
    </row>
    <row r="58" spans="1:6" ht="18" x14ac:dyDescent="0.5">
      <c r="A58" s="189" t="s">
        <v>662</v>
      </c>
      <c r="B58" s="189"/>
      <c r="C58" s="190">
        <f>SUM(C51:C57)</f>
        <v>14</v>
      </c>
      <c r="D58" s="190"/>
      <c r="E58" s="129">
        <f>SUM(E51:E56)</f>
        <v>0</v>
      </c>
      <c r="F58" s="130"/>
    </row>
    <row r="59" spans="1:6" ht="19" x14ac:dyDescent="0.6">
      <c r="A59" s="204" t="s">
        <v>671</v>
      </c>
      <c r="B59" s="204"/>
      <c r="C59" s="204"/>
      <c r="D59" s="204"/>
      <c r="E59" s="204"/>
      <c r="F59" s="204"/>
    </row>
    <row r="60" spans="1:6" ht="32" x14ac:dyDescent="0.35">
      <c r="A60" s="121">
        <v>39</v>
      </c>
      <c r="B60" s="127" t="s">
        <v>672</v>
      </c>
      <c r="C60" s="188">
        <v>2</v>
      </c>
      <c r="D60" s="188"/>
      <c r="E60" s="152"/>
      <c r="F60" s="127"/>
    </row>
    <row r="61" spans="1:6" ht="32" x14ac:dyDescent="0.35">
      <c r="A61" s="121">
        <v>40</v>
      </c>
      <c r="B61" s="127" t="s">
        <v>673</v>
      </c>
      <c r="C61" s="188">
        <v>2</v>
      </c>
      <c r="D61" s="188"/>
      <c r="E61" s="152"/>
      <c r="F61" s="132"/>
    </row>
    <row r="62" spans="1:6" ht="17" x14ac:dyDescent="0.35">
      <c r="A62" s="121">
        <v>41</v>
      </c>
      <c r="B62" s="127" t="s">
        <v>674</v>
      </c>
      <c r="C62" s="188">
        <v>2</v>
      </c>
      <c r="D62" s="188"/>
      <c r="E62" s="152"/>
      <c r="F62" s="127"/>
    </row>
    <row r="63" spans="1:6" ht="17" x14ac:dyDescent="0.35">
      <c r="A63" s="121">
        <v>42</v>
      </c>
      <c r="B63" s="127" t="s">
        <v>675</v>
      </c>
      <c r="C63" s="188">
        <v>2</v>
      </c>
      <c r="D63" s="188"/>
      <c r="E63" s="152"/>
      <c r="F63" s="127"/>
    </row>
    <row r="64" spans="1:6" ht="17" x14ac:dyDescent="0.35">
      <c r="A64" s="121">
        <v>43</v>
      </c>
      <c r="B64" s="127" t="s">
        <v>676</v>
      </c>
      <c r="C64" s="188">
        <v>2</v>
      </c>
      <c r="D64" s="188"/>
      <c r="E64" s="152"/>
      <c r="F64" s="127"/>
    </row>
    <row r="65" spans="1:6" ht="18" x14ac:dyDescent="0.5">
      <c r="A65" s="189" t="s">
        <v>662</v>
      </c>
      <c r="B65" s="189"/>
      <c r="C65" s="190">
        <f>SUM(C60:C64)</f>
        <v>10</v>
      </c>
      <c r="D65" s="190"/>
      <c r="E65" s="129">
        <f>SUM(E60:E64)</f>
        <v>0</v>
      </c>
      <c r="F65" s="130"/>
    </row>
    <row r="66" spans="1:6" ht="21.5" x14ac:dyDescent="0.75">
      <c r="A66" s="205" t="s">
        <v>677</v>
      </c>
      <c r="B66" s="206"/>
      <c r="C66" s="206"/>
      <c r="D66" s="206"/>
      <c r="E66" s="206"/>
      <c r="F66" s="206"/>
    </row>
    <row r="67" spans="1:6" ht="17" x14ac:dyDescent="0.35">
      <c r="A67" s="121">
        <v>44</v>
      </c>
      <c r="B67" s="127" t="s">
        <v>678</v>
      </c>
      <c r="C67" s="188">
        <v>1</v>
      </c>
      <c r="D67" s="188"/>
      <c r="E67" s="152"/>
      <c r="F67" s="127"/>
    </row>
    <row r="68" spans="1:6" ht="17" x14ac:dyDescent="0.35">
      <c r="A68" s="121">
        <v>45</v>
      </c>
      <c r="B68" s="127" t="s">
        <v>679</v>
      </c>
      <c r="C68" s="188">
        <v>1</v>
      </c>
      <c r="D68" s="188"/>
      <c r="E68" s="152"/>
      <c r="F68" s="127"/>
    </row>
    <row r="69" spans="1:6" ht="17" x14ac:dyDescent="0.35">
      <c r="A69" s="121">
        <v>46</v>
      </c>
      <c r="B69" s="127" t="s">
        <v>680</v>
      </c>
      <c r="C69" s="188">
        <v>1</v>
      </c>
      <c r="D69" s="188"/>
      <c r="E69" s="152"/>
      <c r="F69" s="127"/>
    </row>
    <row r="70" spans="1:6" ht="17" x14ac:dyDescent="0.35">
      <c r="A70" s="121">
        <v>47</v>
      </c>
      <c r="B70" s="127" t="s">
        <v>681</v>
      </c>
      <c r="C70" s="188">
        <v>1</v>
      </c>
      <c r="D70" s="188"/>
      <c r="E70" s="152"/>
      <c r="F70" s="127"/>
    </row>
    <row r="71" spans="1:6" ht="18" x14ac:dyDescent="0.5">
      <c r="A71" s="189" t="s">
        <v>662</v>
      </c>
      <c r="B71" s="189"/>
      <c r="C71" s="190">
        <f>SUM(C67:C70)</f>
        <v>4</v>
      </c>
      <c r="D71" s="190"/>
      <c r="E71" s="129">
        <f>SUM(E67:E70)</f>
        <v>0</v>
      </c>
      <c r="F71" s="130"/>
    </row>
    <row r="72" spans="1:6" ht="21.5" x14ac:dyDescent="0.65">
      <c r="A72" s="207" t="s">
        <v>682</v>
      </c>
      <c r="B72" s="207"/>
      <c r="C72" s="207"/>
      <c r="D72" s="207"/>
      <c r="E72" s="207"/>
      <c r="F72" s="207"/>
    </row>
    <row r="73" spans="1:6" ht="17" x14ac:dyDescent="0.35">
      <c r="A73" s="121">
        <v>48</v>
      </c>
      <c r="B73" s="127" t="s">
        <v>683</v>
      </c>
      <c r="C73" s="188">
        <v>2</v>
      </c>
      <c r="D73" s="188"/>
      <c r="E73" s="152"/>
      <c r="F73" s="127"/>
    </row>
    <row r="74" spans="1:6" ht="32.5" x14ac:dyDescent="0.35">
      <c r="A74" s="121">
        <v>49</v>
      </c>
      <c r="B74" s="133" t="s">
        <v>684</v>
      </c>
      <c r="C74" s="188">
        <v>1</v>
      </c>
      <c r="D74" s="188"/>
      <c r="E74" s="152"/>
      <c r="F74" s="133"/>
    </row>
    <row r="75" spans="1:6" ht="17" x14ac:dyDescent="0.35">
      <c r="A75" s="121">
        <v>50</v>
      </c>
      <c r="B75" s="133" t="s">
        <v>685</v>
      </c>
      <c r="C75" s="188">
        <v>2</v>
      </c>
      <c r="D75" s="188"/>
      <c r="E75" s="152"/>
      <c r="F75" s="133"/>
    </row>
    <row r="76" spans="1:6" ht="16.5" x14ac:dyDescent="0.35">
      <c r="A76" s="189" t="s">
        <v>662</v>
      </c>
      <c r="B76" s="189"/>
      <c r="C76" s="213">
        <f>C73+C74+C75</f>
        <v>5</v>
      </c>
      <c r="D76" s="213"/>
      <c r="E76" s="134">
        <f>E73+E74+E75</f>
        <v>0</v>
      </c>
      <c r="F76" s="135"/>
    </row>
    <row r="77" spans="1:6" ht="21" x14ac:dyDescent="0.6">
      <c r="A77" s="214" t="s">
        <v>686</v>
      </c>
      <c r="B77" s="214"/>
      <c r="C77" s="215">
        <f>C49+C58+C65+C71+C76</f>
        <v>50</v>
      </c>
      <c r="D77" s="215"/>
      <c r="E77" s="136">
        <f>E49+E58+E65+E71+E76</f>
        <v>0</v>
      </c>
      <c r="F77" s="137"/>
    </row>
    <row r="78" spans="1:6" ht="22.5" x14ac:dyDescent="0.65">
      <c r="A78" s="216" t="s">
        <v>687</v>
      </c>
      <c r="B78" s="216"/>
      <c r="C78" s="217">
        <f>C40+C77</f>
        <v>100</v>
      </c>
      <c r="D78" s="217"/>
      <c r="E78" s="138">
        <f>E77+E40</f>
        <v>0</v>
      </c>
      <c r="F78" s="139"/>
    </row>
    <row r="79" spans="1:6" ht="17.5" x14ac:dyDescent="0.35">
      <c r="A79" s="208" t="s">
        <v>688</v>
      </c>
      <c r="B79" s="209"/>
      <c r="C79" s="209"/>
      <c r="D79" s="209"/>
      <c r="E79" s="209"/>
      <c r="F79" s="210"/>
    </row>
    <row r="80" spans="1:6" ht="17.5" x14ac:dyDescent="0.35">
      <c r="A80" s="211" t="s">
        <v>689</v>
      </c>
      <c r="B80" s="212"/>
      <c r="C80" s="212" t="s">
        <v>690</v>
      </c>
      <c r="D80" s="212"/>
      <c r="E80" s="212"/>
      <c r="F80" s="140" t="s">
        <v>691</v>
      </c>
    </row>
    <row r="81" spans="1:6" ht="17.5" x14ac:dyDescent="0.35">
      <c r="A81" s="141" t="s">
        <v>692</v>
      </c>
      <c r="B81" s="142"/>
      <c r="C81" s="143" t="s">
        <v>692</v>
      </c>
      <c r="F81" s="143" t="s">
        <v>692</v>
      </c>
    </row>
    <row r="82" spans="1:6" ht="17.5" x14ac:dyDescent="0.35">
      <c r="A82" s="141" t="s">
        <v>693</v>
      </c>
      <c r="B82" s="142"/>
      <c r="C82" s="142" t="s">
        <v>694</v>
      </c>
      <c r="F82" s="143" t="s">
        <v>693</v>
      </c>
    </row>
    <row r="83" spans="1:6" ht="17.5" x14ac:dyDescent="0.35">
      <c r="A83" s="141" t="s">
        <v>695</v>
      </c>
      <c r="B83" s="142"/>
      <c r="C83" s="142" t="s">
        <v>696</v>
      </c>
      <c r="F83" s="143" t="s">
        <v>696</v>
      </c>
    </row>
    <row r="84" spans="1:6" ht="17.5" x14ac:dyDescent="0.35">
      <c r="A84" s="144" t="s">
        <v>697</v>
      </c>
      <c r="B84" s="145"/>
      <c r="C84" s="145" t="s">
        <v>698</v>
      </c>
      <c r="D84" s="146"/>
      <c r="E84" s="146"/>
      <c r="F84" s="147" t="s">
        <v>698</v>
      </c>
    </row>
  </sheetData>
  <mergeCells count="53">
    <mergeCell ref="A79:F79"/>
    <mergeCell ref="A80:B80"/>
    <mergeCell ref="C80:E80"/>
    <mergeCell ref="C75:D75"/>
    <mergeCell ref="A76:B76"/>
    <mergeCell ref="C76:D76"/>
    <mergeCell ref="A77:B77"/>
    <mergeCell ref="C77:D77"/>
    <mergeCell ref="A78:B78"/>
    <mergeCell ref="C78:D78"/>
    <mergeCell ref="C74:D74"/>
    <mergeCell ref="A65:B65"/>
    <mergeCell ref="C65:D65"/>
    <mergeCell ref="A66:F66"/>
    <mergeCell ref="C67:D67"/>
    <mergeCell ref="C68:D68"/>
    <mergeCell ref="C69:D69"/>
    <mergeCell ref="C70:D70"/>
    <mergeCell ref="A71:B71"/>
    <mergeCell ref="C71:D71"/>
    <mergeCell ref="A72:F72"/>
    <mergeCell ref="C73:D73"/>
    <mergeCell ref="A50:F50"/>
    <mergeCell ref="C51:D51"/>
    <mergeCell ref="C64:D64"/>
    <mergeCell ref="C53:D53"/>
    <mergeCell ref="C54:D54"/>
    <mergeCell ref="C55:D55"/>
    <mergeCell ref="C56:D56"/>
    <mergeCell ref="C57:D57"/>
    <mergeCell ref="A59:F59"/>
    <mergeCell ref="C60:D60"/>
    <mergeCell ref="C61:D61"/>
    <mergeCell ref="C62:D62"/>
    <mergeCell ref="C63:D63"/>
    <mergeCell ref="A58:B58"/>
    <mergeCell ref="C58:D58"/>
    <mergeCell ref="C52:D52"/>
    <mergeCell ref="C48:D48"/>
    <mergeCell ref="A49:B49"/>
    <mergeCell ref="C49:D49"/>
    <mergeCell ref="C47:D47"/>
    <mergeCell ref="A1:F1"/>
    <mergeCell ref="A2:F2"/>
    <mergeCell ref="A3:F3"/>
    <mergeCell ref="A4:F4"/>
    <mergeCell ref="A5:E5"/>
    <mergeCell ref="A7:F7"/>
    <mergeCell ref="A9:F9"/>
    <mergeCell ref="A40:B40"/>
    <mergeCell ref="A41:F41"/>
    <mergeCell ref="A42:F42"/>
    <mergeCell ref="C43:D4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1F5FD-0830-4C2B-9361-3B6C243AEF8C}">
  <dimension ref="A1:G50"/>
  <sheetViews>
    <sheetView zoomScaleNormal="100" workbookViewId="0">
      <selection sqref="A1:XFD1048576"/>
    </sheetView>
  </sheetViews>
  <sheetFormatPr defaultRowHeight="14.5" x14ac:dyDescent="0.35"/>
  <cols>
    <col min="1" max="1" width="4.08984375" customWidth="1"/>
    <col min="2" max="2" width="35" style="60" customWidth="1"/>
    <col min="3" max="3" width="12.08984375" customWidth="1"/>
    <col min="4" max="4" width="8.36328125" customWidth="1"/>
    <col min="5" max="5" width="10.36328125" bestFit="1" customWidth="1"/>
    <col min="6" max="6" width="13.26953125" bestFit="1" customWidth="1"/>
    <col min="7" max="7" width="11.26953125" customWidth="1"/>
  </cols>
  <sheetData>
    <row r="1" spans="1:7" x14ac:dyDescent="0.35">
      <c r="A1" s="63"/>
      <c r="B1" s="186" t="s">
        <v>590</v>
      </c>
      <c r="C1" s="186"/>
      <c r="D1" s="186"/>
      <c r="E1" s="186"/>
      <c r="F1" s="186"/>
      <c r="G1" s="186"/>
    </row>
    <row r="2" spans="1:7" x14ac:dyDescent="0.35">
      <c r="A2" s="63"/>
      <c r="B2" s="82" t="s">
        <v>592</v>
      </c>
      <c r="C2" s="187" t="s">
        <v>591</v>
      </c>
      <c r="D2" s="187"/>
      <c r="E2" s="187"/>
      <c r="F2" s="187"/>
      <c r="G2" s="187"/>
    </row>
    <row r="3" spans="1:7" x14ac:dyDescent="0.35">
      <c r="A3" s="63"/>
      <c r="B3" s="64" t="str">
        <f>'Input-SCAN'!A4</f>
        <v>संस्थाको नाम</v>
      </c>
      <c r="C3" s="63" t="str">
        <f>'Input-SCAN'!C4</f>
        <v>ABC SACCOS</v>
      </c>
      <c r="D3" s="63"/>
      <c r="E3" s="63"/>
      <c r="F3" s="63"/>
      <c r="G3" s="63"/>
    </row>
    <row r="4" spans="1:7" x14ac:dyDescent="0.35">
      <c r="A4" s="63"/>
      <c r="B4" s="64" t="str">
        <f>'Input-SCAN'!A5</f>
        <v xml:space="preserve">जिल्ला </v>
      </c>
      <c r="C4" s="63" t="str">
        <f>'Input-SCAN'!C5</f>
        <v>ABC SACCOS</v>
      </c>
      <c r="D4" s="63"/>
      <c r="E4" t="s">
        <v>593</v>
      </c>
      <c r="F4" s="84" t="str">
        <f>'Input-SCAN'!F4</f>
        <v>2082-03-32</v>
      </c>
      <c r="G4" s="63"/>
    </row>
    <row r="5" spans="1:7" x14ac:dyDescent="0.35">
      <c r="A5" s="63"/>
      <c r="B5" s="64" t="str">
        <f>'Input-SCAN'!A6</f>
        <v xml:space="preserve">सदस्यता नम्बर </v>
      </c>
      <c r="C5" s="63">
        <f>'Input-SCAN'!C6</f>
        <v>0</v>
      </c>
      <c r="D5" s="63"/>
      <c r="E5" s="63"/>
      <c r="F5" s="219" t="s">
        <v>582</v>
      </c>
      <c r="G5" s="220"/>
    </row>
    <row r="6" spans="1:7" ht="17" x14ac:dyDescent="0.35">
      <c r="A6" s="221" t="s">
        <v>583</v>
      </c>
      <c r="B6" s="221"/>
      <c r="C6" s="221"/>
      <c r="D6" s="63"/>
      <c r="E6" s="63"/>
      <c r="F6" s="65"/>
      <c r="G6" s="66">
        <f>SUM(COUNTIF(F12:F35,"Non-Significant")+COUNTIF(F38:F48,"Non-Significant"))</f>
        <v>1</v>
      </c>
    </row>
    <row r="7" spans="1:7" ht="17" x14ac:dyDescent="0.35">
      <c r="A7" s="218" t="s">
        <v>578</v>
      </c>
      <c r="B7" s="218"/>
      <c r="C7" s="62">
        <f>C18+C27+C35+C39+C45+C48</f>
        <v>100</v>
      </c>
      <c r="D7" s="63"/>
      <c r="E7" s="63"/>
      <c r="F7" s="67"/>
      <c r="G7" s="66">
        <f>SUM(COUNTIF(F12:F35,"Significant")+COUNTIF(F38:F48,"Significant"))</f>
        <v>0</v>
      </c>
    </row>
    <row r="8" spans="1:7" ht="17" x14ac:dyDescent="0.35">
      <c r="A8" s="218" t="s">
        <v>579</v>
      </c>
      <c r="B8" s="218"/>
      <c r="C8" s="62" t="e">
        <f>E18+E27+E35+E39+E45+E48</f>
        <v>#DIV/0!</v>
      </c>
      <c r="D8" s="63"/>
      <c r="E8" s="63"/>
      <c r="F8" s="68"/>
      <c r="G8" s="66">
        <f>SUM(COUNTIF(F12:F35,"Suspicious")+COUNTIF(F38:F48,"Suspicious"))</f>
        <v>1</v>
      </c>
    </row>
    <row r="9" spans="1:7" ht="17" x14ac:dyDescent="0.35">
      <c r="A9" s="218" t="s">
        <v>580</v>
      </c>
      <c r="B9" s="218"/>
      <c r="C9" s="69" t="e">
        <f>IF(C8&lt;=33,"Non-Significant",IF(C8&lt;=50,"Significant",IF(C8&lt;=75,"Suspicious","Malignant")))</f>
        <v>#DIV/0!</v>
      </c>
      <c r="D9" s="63"/>
      <c r="E9" s="63"/>
      <c r="F9" s="70"/>
      <c r="G9" s="66">
        <f>SUM(COUNTIF(F12:F35,"Malignant")+COUNTIF(F38:F48,"Malignant"))</f>
        <v>9</v>
      </c>
    </row>
    <row r="10" spans="1:7" ht="17" x14ac:dyDescent="0.35">
      <c r="A10" s="218" t="s">
        <v>581</v>
      </c>
      <c r="B10" s="218"/>
      <c r="C10" s="69"/>
      <c r="D10" s="63"/>
      <c r="E10" s="63"/>
      <c r="F10" s="69" t="s">
        <v>387</v>
      </c>
      <c r="G10" s="66">
        <f>SUM(G6:G9)</f>
        <v>11</v>
      </c>
    </row>
    <row r="11" spans="1:7" x14ac:dyDescent="0.35">
      <c r="A11" s="71"/>
      <c r="B11" s="72" t="s">
        <v>3</v>
      </c>
      <c r="C11" s="71" t="s">
        <v>553</v>
      </c>
      <c r="D11" s="71" t="s">
        <v>561</v>
      </c>
      <c r="E11" s="71" t="s">
        <v>552</v>
      </c>
      <c r="F11" s="71" t="s">
        <v>554</v>
      </c>
      <c r="G11" s="71" t="s">
        <v>555</v>
      </c>
    </row>
    <row r="12" spans="1:7" ht="16" x14ac:dyDescent="0.35">
      <c r="A12" s="62">
        <v>1</v>
      </c>
      <c r="B12" s="73" t="s">
        <v>546</v>
      </c>
      <c r="C12" s="62">
        <v>4</v>
      </c>
      <c r="D12" s="74"/>
      <c r="E12" s="74">
        <f>'Input-SCAN'!I19</f>
        <v>4</v>
      </c>
      <c r="F12" s="69" t="str">
        <f>'Input-SCAN'!K14</f>
        <v>Malignant</v>
      </c>
      <c r="G12" s="69"/>
    </row>
    <row r="13" spans="1:7" ht="16" x14ac:dyDescent="0.35">
      <c r="A13" s="62">
        <v>2</v>
      </c>
      <c r="B13" s="73" t="s">
        <v>547</v>
      </c>
      <c r="C13" s="62">
        <v>4</v>
      </c>
      <c r="D13" s="74"/>
      <c r="E13" s="74" t="e">
        <f>'Input-SCAN'!I29</f>
        <v>#DIV/0!</v>
      </c>
      <c r="F13" s="69" t="e">
        <f>'Input-SCAN'!K26</f>
        <v>#DIV/0!</v>
      </c>
      <c r="G13" s="69"/>
    </row>
    <row r="14" spans="1:7" ht="16" x14ac:dyDescent="0.35">
      <c r="A14" s="62">
        <v>3</v>
      </c>
      <c r="B14" s="73" t="s">
        <v>548</v>
      </c>
      <c r="C14" s="62">
        <v>3</v>
      </c>
      <c r="D14" s="74"/>
      <c r="E14" s="74">
        <f>'Input-SCAN'!I38</f>
        <v>3</v>
      </c>
      <c r="F14" s="69" t="str">
        <f>'Input-SCAN'!K35</f>
        <v>Malignant</v>
      </c>
      <c r="G14" s="69"/>
    </row>
    <row r="15" spans="1:7" ht="16" x14ac:dyDescent="0.35">
      <c r="A15" s="62">
        <v>4</v>
      </c>
      <c r="B15" s="73" t="s">
        <v>549</v>
      </c>
      <c r="C15" s="62">
        <v>3</v>
      </c>
      <c r="D15" s="74"/>
      <c r="E15" s="74">
        <f>'Input-SCAN'!I46</f>
        <v>3</v>
      </c>
      <c r="F15" s="69" t="str">
        <f>'Input-SCAN'!K43</f>
        <v>Malignant</v>
      </c>
      <c r="G15" s="69"/>
    </row>
    <row r="16" spans="1:7" ht="16" x14ac:dyDescent="0.35">
      <c r="A16" s="62">
        <v>5</v>
      </c>
      <c r="B16" s="73" t="s">
        <v>550</v>
      </c>
      <c r="C16" s="62">
        <v>4</v>
      </c>
      <c r="D16" s="74"/>
      <c r="E16" s="74">
        <f>'Input-SCAN'!I57</f>
        <v>2.5</v>
      </c>
      <c r="F16" s="69" t="str">
        <f>'Input-SCAN'!K53</f>
        <v>Suspicious</v>
      </c>
      <c r="G16" s="69"/>
    </row>
    <row r="17" spans="1:7" ht="16" x14ac:dyDescent="0.35">
      <c r="A17" s="62">
        <v>6</v>
      </c>
      <c r="B17" s="73" t="s">
        <v>551</v>
      </c>
      <c r="C17" s="62">
        <v>2</v>
      </c>
      <c r="D17" s="74"/>
      <c r="E17" s="74">
        <f>'Input-SCAN'!I69</f>
        <v>2</v>
      </c>
      <c r="F17" s="69" t="str">
        <f>'Input-SCAN'!K64</f>
        <v>Malignant</v>
      </c>
      <c r="G17" s="69"/>
    </row>
    <row r="18" spans="1:7" ht="16" x14ac:dyDescent="0.35">
      <c r="A18" s="71"/>
      <c r="B18" s="72" t="s">
        <v>568</v>
      </c>
      <c r="C18" s="75">
        <f>SUM(C11:C17)</f>
        <v>20</v>
      </c>
      <c r="D18" s="76"/>
      <c r="E18" s="77" t="e">
        <f>SUM(E11:E17)</f>
        <v>#DIV/0!</v>
      </c>
      <c r="F18" s="71"/>
      <c r="G18" s="71"/>
    </row>
    <row r="19" spans="1:7" ht="16" x14ac:dyDescent="0.35">
      <c r="A19" s="62">
        <v>7</v>
      </c>
      <c r="B19" s="73" t="s">
        <v>490</v>
      </c>
      <c r="C19" s="62">
        <v>15</v>
      </c>
      <c r="D19" s="78" t="e">
        <f>'Input-SCAN'!H73</f>
        <v>#DIV/0!</v>
      </c>
      <c r="E19" s="74" t="e">
        <f>'Input-SCAN'!I73</f>
        <v>#DIV/0!</v>
      </c>
      <c r="F19" s="69" t="e">
        <f>'Input-SCAN'!J73</f>
        <v>#DIV/0!</v>
      </c>
      <c r="G19" s="69"/>
    </row>
    <row r="20" spans="1:7" ht="16" x14ac:dyDescent="0.35">
      <c r="A20" s="62">
        <v>8</v>
      </c>
      <c r="B20" s="73" t="s">
        <v>556</v>
      </c>
      <c r="C20" s="62">
        <v>4</v>
      </c>
      <c r="D20" s="78" t="e">
        <f>'Input-SCAN'!H74</f>
        <v>#DIV/0!</v>
      </c>
      <c r="E20" s="74" t="e">
        <f>'Input-SCAN'!I74</f>
        <v>#DIV/0!</v>
      </c>
      <c r="F20" s="69" t="e">
        <f>'Input-SCAN'!J74</f>
        <v>#DIV/0!</v>
      </c>
      <c r="G20" s="69"/>
    </row>
    <row r="21" spans="1:7" ht="16" x14ac:dyDescent="0.35">
      <c r="A21" s="62">
        <v>9</v>
      </c>
      <c r="B21" s="73" t="s">
        <v>557</v>
      </c>
      <c r="C21" s="62">
        <v>4</v>
      </c>
      <c r="D21" s="78" t="e">
        <f>'Input-SCAN'!H75</f>
        <v>#DIV/0!</v>
      </c>
      <c r="E21" s="74" t="e">
        <f>'Input-SCAN'!I75</f>
        <v>#DIV/0!</v>
      </c>
      <c r="F21" s="69" t="e">
        <f>'Input-SCAN'!J75</f>
        <v>#DIV/0!</v>
      </c>
      <c r="G21" s="69"/>
    </row>
    <row r="22" spans="1:7" ht="16" x14ac:dyDescent="0.35">
      <c r="A22" s="62">
        <v>10</v>
      </c>
      <c r="B22" s="73" t="s">
        <v>558</v>
      </c>
      <c r="C22" s="62">
        <v>3</v>
      </c>
      <c r="D22" s="78" t="e">
        <f>'Input-SCAN'!H76</f>
        <v>#DIV/0!</v>
      </c>
      <c r="E22" s="74" t="e">
        <f>'Input-SCAN'!I76</f>
        <v>#DIV/0!</v>
      </c>
      <c r="F22" s="69" t="e">
        <f>'Input-SCAN'!J76</f>
        <v>#DIV/0!</v>
      </c>
      <c r="G22" s="69"/>
    </row>
    <row r="23" spans="1:7" ht="16" x14ac:dyDescent="0.35">
      <c r="A23" s="62">
        <v>11</v>
      </c>
      <c r="B23" s="73" t="s">
        <v>494</v>
      </c>
      <c r="C23" s="62">
        <v>3</v>
      </c>
      <c r="D23" s="78" t="e">
        <f>'Input-SCAN'!H77</f>
        <v>#DIV/0!</v>
      </c>
      <c r="E23" s="74" t="e">
        <f>'Input-SCAN'!I77</f>
        <v>#DIV/0!</v>
      </c>
      <c r="F23" s="69" t="e">
        <f>'Input-SCAN'!J77</f>
        <v>#DIV/0!</v>
      </c>
      <c r="G23" s="69"/>
    </row>
    <row r="24" spans="1:7" ht="16" x14ac:dyDescent="0.35">
      <c r="A24" s="62">
        <v>12</v>
      </c>
      <c r="B24" s="73" t="s">
        <v>559</v>
      </c>
      <c r="C24" s="62">
        <v>3</v>
      </c>
      <c r="D24" s="78" t="e">
        <f>'Input-SCAN'!H78</f>
        <v>#DIV/0!</v>
      </c>
      <c r="E24" s="74" t="e">
        <f>'Input-SCAN'!I78</f>
        <v>#DIV/0!</v>
      </c>
      <c r="F24" s="69" t="e">
        <f>'Input-SCAN'!J78</f>
        <v>#DIV/0!</v>
      </c>
      <c r="G24" s="69"/>
    </row>
    <row r="25" spans="1:7" ht="16" x14ac:dyDescent="0.35">
      <c r="A25" s="62">
        <v>13</v>
      </c>
      <c r="B25" s="73" t="s">
        <v>560</v>
      </c>
      <c r="C25" s="62">
        <v>4</v>
      </c>
      <c r="D25" s="78" t="e">
        <f>'Input-SCAN'!H79</f>
        <v>#DIV/0!</v>
      </c>
      <c r="E25" s="74" t="e">
        <f>'Input-SCAN'!I79</f>
        <v>#DIV/0!</v>
      </c>
      <c r="F25" s="69" t="e">
        <f>'Input-SCAN'!J79</f>
        <v>#DIV/0!</v>
      </c>
      <c r="G25" s="69"/>
    </row>
    <row r="26" spans="1:7" ht="16" x14ac:dyDescent="0.35">
      <c r="A26" s="62">
        <v>14</v>
      </c>
      <c r="B26" s="73" t="s">
        <v>496</v>
      </c>
      <c r="C26" s="62">
        <v>4</v>
      </c>
      <c r="D26" s="78" t="e">
        <f>'Input-SCAN'!H80</f>
        <v>#DIV/0!</v>
      </c>
      <c r="E26" s="74" t="e">
        <f>'Input-SCAN'!I80</f>
        <v>#DIV/0!</v>
      </c>
      <c r="F26" s="69" t="e">
        <f>'Input-SCAN'!J80</f>
        <v>#DIV/0!</v>
      </c>
      <c r="G26" s="69"/>
    </row>
    <row r="27" spans="1:7" ht="16" x14ac:dyDescent="0.35">
      <c r="A27" s="75"/>
      <c r="B27" s="72" t="s">
        <v>567</v>
      </c>
      <c r="C27" s="75">
        <f>SUM(C19:C26)</f>
        <v>40</v>
      </c>
      <c r="D27" s="76"/>
      <c r="E27" s="77" t="e">
        <f>SUM(E19:E26)</f>
        <v>#DIV/0!</v>
      </c>
      <c r="F27" s="71"/>
      <c r="G27" s="71"/>
    </row>
    <row r="28" spans="1:7" ht="16" x14ac:dyDescent="0.35">
      <c r="A28" s="62">
        <v>15</v>
      </c>
      <c r="B28" s="73" t="s">
        <v>442</v>
      </c>
      <c r="C28" s="62">
        <v>5</v>
      </c>
      <c r="D28" s="78" t="e">
        <f>'Input-SCAN'!H85</f>
        <v>#DIV/0!</v>
      </c>
      <c r="E28" s="78" t="e">
        <f>'Input-SCAN'!I85</f>
        <v>#DIV/0!</v>
      </c>
      <c r="F28" s="79" t="e">
        <f>'Input-SCAN'!J85</f>
        <v>#DIV/0!</v>
      </c>
      <c r="G28" s="69"/>
    </row>
    <row r="29" spans="1:7" ht="35" customHeight="1" x14ac:dyDescent="0.35">
      <c r="A29" s="62">
        <v>16</v>
      </c>
      <c r="B29" s="61" t="s">
        <v>562</v>
      </c>
      <c r="C29" s="62">
        <v>5</v>
      </c>
      <c r="D29" s="74" t="e">
        <f>'Input-SCAN'!H86</f>
        <v>#DIV/0!</v>
      </c>
      <c r="E29" s="74" t="e">
        <f>'Input-SCAN'!I86</f>
        <v>#DIV/0!</v>
      </c>
      <c r="F29" s="69" t="e">
        <f>'Input-SCAN'!J86</f>
        <v>#DIV/0!</v>
      </c>
      <c r="G29" s="69"/>
    </row>
    <row r="30" spans="1:7" ht="16" x14ac:dyDescent="0.35">
      <c r="A30" s="62">
        <v>17</v>
      </c>
      <c r="B30" s="73" t="s">
        <v>563</v>
      </c>
      <c r="C30" s="62">
        <v>5</v>
      </c>
      <c r="D30" s="74"/>
      <c r="E30" s="74">
        <f>'Input-SCAN'!I91</f>
        <v>5</v>
      </c>
      <c r="F30" s="69" t="str">
        <f>'Input-SCAN'!J91</f>
        <v>Malignant</v>
      </c>
      <c r="G30" s="69"/>
    </row>
    <row r="31" spans="1:7" ht="16" x14ac:dyDescent="0.35">
      <c r="A31" s="69"/>
      <c r="B31" s="73" t="s">
        <v>450</v>
      </c>
      <c r="C31" s="69"/>
      <c r="D31" s="78">
        <f>'Input-SCAN'!H87</f>
        <v>0</v>
      </c>
      <c r="E31" s="74"/>
      <c r="F31" s="69"/>
      <c r="G31" s="69"/>
    </row>
    <row r="32" spans="1:7" ht="16" x14ac:dyDescent="0.35">
      <c r="A32" s="69"/>
      <c r="B32" s="73" t="s">
        <v>451</v>
      </c>
      <c r="C32" s="69"/>
      <c r="D32" s="78">
        <f>'Input-SCAN'!H88</f>
        <v>0</v>
      </c>
      <c r="E32" s="74"/>
      <c r="F32" s="69"/>
      <c r="G32" s="69"/>
    </row>
    <row r="33" spans="1:7" ht="16" x14ac:dyDescent="0.35">
      <c r="A33" s="69"/>
      <c r="B33" s="73" t="s">
        <v>452</v>
      </c>
      <c r="C33" s="69"/>
      <c r="D33" s="78">
        <f>'Input-SCAN'!H89</f>
        <v>0</v>
      </c>
      <c r="E33" s="74"/>
      <c r="F33" s="69"/>
      <c r="G33" s="69"/>
    </row>
    <row r="34" spans="1:7" ht="16" x14ac:dyDescent="0.35">
      <c r="A34" s="69"/>
      <c r="B34" s="73" t="s">
        <v>453</v>
      </c>
      <c r="C34" s="69"/>
      <c r="D34" s="78">
        <f>'Input-SCAN'!H90</f>
        <v>0</v>
      </c>
      <c r="E34" s="74"/>
      <c r="F34" s="69"/>
      <c r="G34" s="69"/>
    </row>
    <row r="35" spans="1:7" ht="16" x14ac:dyDescent="0.35">
      <c r="A35" s="71"/>
      <c r="B35" s="72" t="s">
        <v>569</v>
      </c>
      <c r="C35" s="75">
        <f>SUM(C28:C34)</f>
        <v>15</v>
      </c>
      <c r="D35" s="76"/>
      <c r="E35" s="77" t="e">
        <f>SUM(E28:E34)</f>
        <v>#DIV/0!</v>
      </c>
      <c r="F35" s="71"/>
      <c r="G35" s="71"/>
    </row>
    <row r="36" spans="1:7" ht="16" x14ac:dyDescent="0.35">
      <c r="A36" s="69"/>
      <c r="B36" s="73" t="s">
        <v>564</v>
      </c>
      <c r="C36" s="62">
        <f>'Output-Financial Report'!D15</f>
        <v>8</v>
      </c>
      <c r="D36" s="74" t="e">
        <f>'Input-SCAN'!H95</f>
        <v>#DIV/0!</v>
      </c>
      <c r="E36" s="74" t="e">
        <f>'Input-SCAN'!I95</f>
        <v>#DIV/0!</v>
      </c>
      <c r="F36" s="69" t="e">
        <f>'Input-SCAN'!J95</f>
        <v>#DIV/0!</v>
      </c>
      <c r="G36" s="69"/>
    </row>
    <row r="37" spans="1:7" ht="16" x14ac:dyDescent="0.35">
      <c r="A37" s="69"/>
      <c r="B37" s="73" t="s">
        <v>565</v>
      </c>
      <c r="C37" s="62">
        <f>'Output-Financial Report'!D16</f>
        <v>2</v>
      </c>
      <c r="D37" s="74" t="e">
        <f>'Input-SCAN'!H96</f>
        <v>#DIV/0!</v>
      </c>
      <c r="E37" s="74" t="e">
        <f>'Input-SCAN'!I96</f>
        <v>#DIV/0!</v>
      </c>
      <c r="F37" s="69" t="e">
        <f>'Input-SCAN'!J96</f>
        <v>#DIV/0!</v>
      </c>
      <c r="G37" s="69"/>
    </row>
    <row r="38" spans="1:7" ht="16" x14ac:dyDescent="0.35">
      <c r="A38" s="62">
        <v>18</v>
      </c>
      <c r="B38" s="73" t="s">
        <v>566</v>
      </c>
      <c r="C38" s="62">
        <f>SUM(C36:C37)</f>
        <v>10</v>
      </c>
      <c r="D38" s="74"/>
      <c r="E38" s="80" t="e">
        <f>SUM(E36:E37)</f>
        <v>#DIV/0!</v>
      </c>
      <c r="F38" s="69" t="str">
        <f>IF(COUNTIF(F36:F37,"Malignant"),"Malignant",IF(COUNTIF(F36:F37,"Suspicious"),"Suspicious",IF(COUNTIF(F36:F37,"Significant"),"Significant","Non-Significant")))</f>
        <v>Non-Significant</v>
      </c>
      <c r="G38" s="69"/>
    </row>
    <row r="39" spans="1:7" ht="16" x14ac:dyDescent="0.35">
      <c r="A39" s="75"/>
      <c r="B39" s="72" t="s">
        <v>574</v>
      </c>
      <c r="C39" s="75">
        <f>C38</f>
        <v>10</v>
      </c>
      <c r="D39" s="76"/>
      <c r="E39" s="77" t="e">
        <f>E38</f>
        <v>#DIV/0!</v>
      </c>
      <c r="F39" s="71"/>
      <c r="G39" s="71"/>
    </row>
    <row r="40" spans="1:7" ht="16" x14ac:dyDescent="0.35">
      <c r="A40" s="62">
        <v>19</v>
      </c>
      <c r="B40" s="73" t="s">
        <v>63</v>
      </c>
      <c r="C40" s="62">
        <v>2</v>
      </c>
      <c r="D40" s="74"/>
      <c r="E40" s="74">
        <f>'Input-SCAN'!I107</f>
        <v>2</v>
      </c>
      <c r="F40" s="69" t="str">
        <f>'Input-SCAN'!K102</f>
        <v>Malignant</v>
      </c>
      <c r="G40" s="69"/>
    </row>
    <row r="41" spans="1:7" ht="16" x14ac:dyDescent="0.35">
      <c r="A41" s="62">
        <v>20</v>
      </c>
      <c r="B41" s="73" t="s">
        <v>570</v>
      </c>
      <c r="C41" s="62">
        <v>2</v>
      </c>
      <c r="D41" s="74"/>
      <c r="E41" s="74">
        <f>'Input-SCAN'!I114</f>
        <v>2</v>
      </c>
      <c r="F41" s="69" t="str">
        <f>'Input-SCAN'!K111</f>
        <v>Malignant</v>
      </c>
      <c r="G41" s="69"/>
    </row>
    <row r="42" spans="1:7" ht="16" x14ac:dyDescent="0.35">
      <c r="A42" s="62">
        <v>21</v>
      </c>
      <c r="B42" s="73" t="s">
        <v>571</v>
      </c>
      <c r="C42" s="62">
        <v>2</v>
      </c>
      <c r="D42" s="74"/>
      <c r="E42" s="74" t="e">
        <f>'Input-SCAN'!I123</f>
        <v>#DIV/0!</v>
      </c>
      <c r="F42" s="69" t="e">
        <f>'Input-SCAN'!K119</f>
        <v>#DIV/0!</v>
      </c>
      <c r="G42" s="69"/>
    </row>
    <row r="43" spans="1:7" ht="16" x14ac:dyDescent="0.35">
      <c r="A43" s="62">
        <v>22</v>
      </c>
      <c r="B43" s="73" t="s">
        <v>522</v>
      </c>
      <c r="C43" s="62">
        <v>2</v>
      </c>
      <c r="D43" s="74"/>
      <c r="E43" s="74">
        <f>'Input-SCAN'!I131</f>
        <v>2</v>
      </c>
      <c r="F43" s="69" t="str">
        <f>'Input-SCAN'!K128</f>
        <v>Malignant</v>
      </c>
      <c r="G43" s="69"/>
    </row>
    <row r="44" spans="1:7" ht="16" x14ac:dyDescent="0.35">
      <c r="A44" s="62">
        <v>23</v>
      </c>
      <c r="B44" s="73" t="s">
        <v>572</v>
      </c>
      <c r="C44" s="62">
        <v>2</v>
      </c>
      <c r="D44" s="74"/>
      <c r="E44" s="74">
        <f>'Input-SCAN'!I141</f>
        <v>2</v>
      </c>
      <c r="F44" s="69" t="str">
        <f>'Input-SCAN'!K137</f>
        <v>Malignant</v>
      </c>
      <c r="G44" s="69"/>
    </row>
    <row r="45" spans="1:7" ht="16" x14ac:dyDescent="0.35">
      <c r="A45" s="71"/>
      <c r="B45" s="72" t="s">
        <v>575</v>
      </c>
      <c r="C45" s="75">
        <f>SUM(C40:C44)</f>
        <v>10</v>
      </c>
      <c r="D45" s="76"/>
      <c r="E45" s="77" t="e">
        <f>SUM(E40:E44)</f>
        <v>#DIV/0!</v>
      </c>
      <c r="F45" s="71"/>
      <c r="G45" s="71"/>
    </row>
    <row r="46" spans="1:7" ht="16" x14ac:dyDescent="0.35">
      <c r="A46" s="62">
        <v>24</v>
      </c>
      <c r="B46" s="73" t="s">
        <v>576</v>
      </c>
      <c r="C46" s="62">
        <v>3</v>
      </c>
      <c r="D46" s="74" t="e">
        <f>'Input-SCAN'!H145</f>
        <v>#DIV/0!</v>
      </c>
      <c r="E46" s="74" t="e">
        <f>'Input-SCAN'!I145</f>
        <v>#DIV/0!</v>
      </c>
      <c r="F46" s="69" t="e">
        <f>'Input-SCAN'!J145</f>
        <v>#DIV/0!</v>
      </c>
      <c r="G46" s="69"/>
    </row>
    <row r="47" spans="1:7" ht="16" x14ac:dyDescent="0.35">
      <c r="A47" s="62">
        <v>25</v>
      </c>
      <c r="B47" s="73" t="s">
        <v>577</v>
      </c>
      <c r="C47" s="62">
        <v>2</v>
      </c>
      <c r="D47" s="74" t="e">
        <f>'Input-SCAN'!H146</f>
        <v>#DIV/0!</v>
      </c>
      <c r="E47" s="74" t="e">
        <f>'Input-SCAN'!I146</f>
        <v>#DIV/0!</v>
      </c>
      <c r="F47" s="69" t="e">
        <f>'Input-SCAN'!J146</f>
        <v>#DIV/0!</v>
      </c>
      <c r="G47" s="69"/>
    </row>
    <row r="48" spans="1:7" x14ac:dyDescent="0.35">
      <c r="A48" s="71"/>
      <c r="B48" s="72" t="s">
        <v>575</v>
      </c>
      <c r="C48" s="75">
        <f>SUM(C46:C47)</f>
        <v>5</v>
      </c>
      <c r="D48" s="72"/>
      <c r="E48" s="81" t="e">
        <f>SUM(E46:E47)</f>
        <v>#DIV/0!</v>
      </c>
      <c r="F48" s="71"/>
      <c r="G48" s="71"/>
    </row>
    <row r="49" spans="1:7" x14ac:dyDescent="0.35">
      <c r="A49" s="63"/>
      <c r="B49" s="64" t="s">
        <v>584</v>
      </c>
      <c r="C49" s="63"/>
      <c r="D49" s="63"/>
      <c r="E49" s="63"/>
      <c r="F49" s="63"/>
      <c r="G49" s="63"/>
    </row>
    <row r="50" spans="1:7" x14ac:dyDescent="0.35">
      <c r="A50" s="63"/>
      <c r="B50" s="64" t="s">
        <v>585</v>
      </c>
      <c r="C50" s="63"/>
      <c r="D50" s="63"/>
      <c r="E50" s="63" t="s">
        <v>586</v>
      </c>
      <c r="F50" s="63"/>
      <c r="G50" s="63"/>
    </row>
  </sheetData>
  <sheetProtection algorithmName="SHA-512" hashValue="PYWQ+NYYS+TDB+J/cmfb9s4l2vkRRQbSzDXCV+RYqtVd8RFhzJz4RmMFVtqAk0KVbW8Err5QjpWCfcij8pvWMw==" saltValue="VFGTmklDmw+6ZcmeBvqOng==" spinCount="100000" sheet="1" objects="1" scenarios="1"/>
  <customSheetViews>
    <customSheetView guid="{B03DA2A8-6E10-4AC8-B8E9-08273B4719D3}">
      <selection activeCell="F6" sqref="F6"/>
      <pageMargins left="0.7" right="0.37" top="0.22" bottom="0.28999999999999998" header="0.3" footer="0.17"/>
      <pageSetup scale="93" orientation="portrait" r:id="rId1"/>
    </customSheetView>
    <customSheetView guid="{AF169707-4E0F-443B-AC54-AEDA2A2EE592}">
      <selection activeCell="F6" sqref="F6"/>
      <pageMargins left="0.7" right="0.37" top="0.22" bottom="0.28999999999999998" header="0.3" footer="0.17"/>
      <pageSetup scale="93" orientation="portrait" r:id="rId2"/>
    </customSheetView>
    <customSheetView guid="{9C839773-0576-4D5E-B841-6D274CD2DC85}">
      <selection activeCell="F6" sqref="F6"/>
      <pageMargins left="0.7" right="0.37" top="0.22" bottom="0.28999999999999998" header="0.3" footer="0.17"/>
      <pageSetup scale="93" orientation="portrait" r:id="rId3"/>
    </customSheetView>
    <customSheetView guid="{25DE02B3-1CDA-48F7-89E3-3677026220D5}">
      <selection activeCell="F6" sqref="F6"/>
      <pageMargins left="0.7" right="0.37" top="0.22" bottom="0.28999999999999998" header="0.3" footer="0.17"/>
      <pageSetup scale="93" orientation="portrait" r:id="rId4"/>
    </customSheetView>
  </customSheetViews>
  <mergeCells count="8">
    <mergeCell ref="B1:G1"/>
    <mergeCell ref="C2:G2"/>
    <mergeCell ref="A9:B9"/>
    <mergeCell ref="A10:B10"/>
    <mergeCell ref="F5:G5"/>
    <mergeCell ref="A6:C6"/>
    <mergeCell ref="A7:B7"/>
    <mergeCell ref="A8:B8"/>
  </mergeCells>
  <conditionalFormatting sqref="C10">
    <cfRule type="expression" dxfId="61" priority="1">
      <formula>C8&lt;33</formula>
    </cfRule>
    <cfRule type="expression" dxfId="60" priority="2">
      <formula>C9="Malignant"</formula>
    </cfRule>
    <cfRule type="expression" dxfId="59" priority="3">
      <formula>C9="Suspicious"</formula>
    </cfRule>
    <cfRule type="expression" dxfId="58" priority="4">
      <formula>C9="Significant"</formula>
    </cfRule>
    <cfRule type="expression" dxfId="57" priority="5">
      <formula>C9="Non-Significant"</formula>
    </cfRule>
  </conditionalFormatting>
  <conditionalFormatting sqref="G12:G17">
    <cfRule type="expression" dxfId="55" priority="36">
      <formula>F12="Non-Significant"</formula>
    </cfRule>
    <cfRule type="expression" dxfId="54" priority="38">
      <formula>F12="Malignant"</formula>
    </cfRule>
    <cfRule type="expression" dxfId="53" priority="39">
      <formula>F12="Suspicious"</formula>
    </cfRule>
    <cfRule type="expression" dxfId="52" priority="40">
      <formula>F12="Significant"</formula>
    </cfRule>
    <cfRule type="expression" dxfId="51" priority="41">
      <formula>F12="Non Significant"</formula>
    </cfRule>
  </conditionalFormatting>
  <conditionalFormatting sqref="G19:G26">
    <cfRule type="expression" dxfId="50" priority="26">
      <formula>F19="Non-Significant"</formula>
    </cfRule>
    <cfRule type="expression" dxfId="49" priority="27">
      <formula>F19="Malignant"</formula>
    </cfRule>
    <cfRule type="expression" dxfId="48" priority="28">
      <formula>F19="Suspicious"</formula>
    </cfRule>
    <cfRule type="expression" dxfId="47" priority="29">
      <formula>F19="Significant"</formula>
    </cfRule>
    <cfRule type="expression" dxfId="46" priority="30">
      <formula>F19="Non Significant"</formula>
    </cfRule>
  </conditionalFormatting>
  <conditionalFormatting sqref="G28:G30">
    <cfRule type="expression" dxfId="45" priority="21">
      <formula>F28="Non-Significant"</formula>
    </cfRule>
    <cfRule type="expression" dxfId="44" priority="22">
      <formula>F28="Malignant"</formula>
    </cfRule>
    <cfRule type="expression" dxfId="43" priority="23">
      <formula>F28="Suspicious"</formula>
    </cfRule>
    <cfRule type="expression" dxfId="42" priority="24">
      <formula>F28="Significant"</formula>
    </cfRule>
    <cfRule type="expression" dxfId="41" priority="25">
      <formula>F28="Non Significant"</formula>
    </cfRule>
  </conditionalFormatting>
  <conditionalFormatting sqref="G38:G44">
    <cfRule type="expression" dxfId="40" priority="11">
      <formula>F38="Non-Significant"</formula>
    </cfRule>
    <cfRule type="expression" dxfId="39" priority="12">
      <formula>F38="Malignant"</formula>
    </cfRule>
    <cfRule type="expression" dxfId="38" priority="13">
      <formula>F38="Suspicious"</formula>
    </cfRule>
    <cfRule type="expression" dxfId="37" priority="14">
      <formula>F38="Significant"</formula>
    </cfRule>
    <cfRule type="expression" dxfId="36" priority="15">
      <formula>F38="Non Significant"</formula>
    </cfRule>
  </conditionalFormatting>
  <conditionalFormatting sqref="G46:G47">
    <cfRule type="expression" dxfId="35" priority="6">
      <formula>F46="Non-Significant"</formula>
    </cfRule>
    <cfRule type="expression" dxfId="34" priority="7">
      <formula>F46="Malignant"</formula>
    </cfRule>
    <cfRule type="expression" dxfId="33" priority="8">
      <formula>F46="Suspicious"</formula>
    </cfRule>
    <cfRule type="expression" dxfId="32" priority="9">
      <formula>F46="Significant"</formula>
    </cfRule>
    <cfRule type="expression" dxfId="31" priority="10">
      <formula>F46="Non Significant"</formula>
    </cfRule>
  </conditionalFormatting>
  <pageMargins left="0.7" right="0.37" top="0.22" bottom="0.28999999999999998" header="0.3" footer="0.17"/>
  <pageSetup scale="93" orientation="portrait" r:id="rId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id="{310B0A85-64FF-47E0-9BCB-80245325D44E}">
            <xm:f>NOT(ISERROR(SEARCH($F$12="Non Significant",F12)))</xm:f>
            <xm:f>$F$12="Non Significant"</xm:f>
            <x14:dxf>
              <fill>
                <patternFill>
                  <bgColor rgb="FF00B050"/>
                </patternFill>
              </fill>
            </x14:dxf>
          </x14:cfRule>
          <xm:sqref>F12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265E0-C054-41CF-A856-A05D9DD7C89F}">
  <dimension ref="A1:G50"/>
  <sheetViews>
    <sheetView workbookViewId="0">
      <selection activeCell="I12" sqref="I12"/>
    </sheetView>
  </sheetViews>
  <sheetFormatPr defaultRowHeight="14.5" x14ac:dyDescent="0.35"/>
  <cols>
    <col min="1" max="1" width="4.08984375" customWidth="1"/>
    <col min="2" max="2" width="35" style="60" customWidth="1"/>
    <col min="3" max="3" width="12.08984375" customWidth="1"/>
    <col min="4" max="4" width="8.36328125" customWidth="1"/>
    <col min="5" max="5" width="10.36328125" bestFit="1" customWidth="1"/>
    <col min="6" max="6" width="13.26953125" bestFit="1" customWidth="1"/>
    <col min="7" max="7" width="11.26953125" customWidth="1"/>
  </cols>
  <sheetData>
    <row r="1" spans="1:7" x14ac:dyDescent="0.35">
      <c r="A1" s="63"/>
      <c r="B1" s="186" t="s">
        <v>590</v>
      </c>
      <c r="C1" s="186"/>
      <c r="D1" s="186"/>
      <c r="E1" s="186"/>
      <c r="F1" s="186"/>
      <c r="G1" s="186"/>
    </row>
    <row r="2" spans="1:7" x14ac:dyDescent="0.35">
      <c r="A2" s="63"/>
      <c r="B2" s="82" t="s">
        <v>592</v>
      </c>
      <c r="C2" s="187" t="s">
        <v>591</v>
      </c>
      <c r="D2" s="187"/>
      <c r="E2" s="187"/>
      <c r="F2" s="187"/>
      <c r="G2" s="187"/>
    </row>
    <row r="3" spans="1:7" x14ac:dyDescent="0.35">
      <c r="A3" s="63"/>
      <c r="B3" s="64" t="str">
        <f>'Input-SCAN'!A4</f>
        <v>संस्थाको नाम</v>
      </c>
      <c r="C3" s="63" t="str">
        <f>'Input-SCAN'!C4</f>
        <v>ABC SACCOS</v>
      </c>
      <c r="D3" s="63"/>
      <c r="E3" s="63"/>
      <c r="F3" s="63"/>
      <c r="G3" s="63"/>
    </row>
    <row r="4" spans="1:7" x14ac:dyDescent="0.35">
      <c r="A4" s="63"/>
      <c r="B4" s="64" t="str">
        <f>'Input-SCAN'!A5</f>
        <v xml:space="preserve">जिल्ला </v>
      </c>
      <c r="C4" s="63" t="str">
        <f>'Input-SCAN'!C5</f>
        <v>ABC SACCOS</v>
      </c>
      <c r="D4" s="63"/>
      <c r="E4" t="s">
        <v>593</v>
      </c>
      <c r="F4" s="84" t="str">
        <f>'Input-SCAN'!F4</f>
        <v>2082-03-32</v>
      </c>
      <c r="G4" s="63"/>
    </row>
    <row r="5" spans="1:7" x14ac:dyDescent="0.35">
      <c r="A5" s="63"/>
      <c r="B5" s="64" t="str">
        <f>'Input-SCAN'!A6</f>
        <v xml:space="preserve">सदस्यता नम्बर </v>
      </c>
      <c r="C5" s="63">
        <f>'Input-SCAN'!C6</f>
        <v>0</v>
      </c>
      <c r="D5" s="63"/>
      <c r="E5" s="63"/>
      <c r="F5" s="219" t="s">
        <v>582</v>
      </c>
      <c r="G5" s="220"/>
    </row>
    <row r="6" spans="1:7" ht="17" x14ac:dyDescent="0.35">
      <c r="A6" s="221" t="s">
        <v>583</v>
      </c>
      <c r="B6" s="221"/>
      <c r="C6" s="221"/>
      <c r="D6" s="63"/>
      <c r="E6" s="63"/>
      <c r="F6" s="65"/>
      <c r="G6" s="66">
        <f>SUM(COUNTIF(F12:F35,"Non-Significant")+COUNTIF(F38:F48,"Non-Significant"))</f>
        <v>1</v>
      </c>
    </row>
    <row r="7" spans="1:7" ht="17" x14ac:dyDescent="0.35">
      <c r="A7" s="218" t="s">
        <v>578</v>
      </c>
      <c r="B7" s="218"/>
      <c r="C7" s="62">
        <f>C18+C27+C35+C39+C45+C48</f>
        <v>100</v>
      </c>
      <c r="D7" s="63"/>
      <c r="E7" s="63"/>
      <c r="F7" s="67"/>
      <c r="G7" s="66">
        <f>SUM(COUNTIF(F12:F35,"Significant")+COUNTIF(F38:F48,"Significant"))</f>
        <v>0</v>
      </c>
    </row>
    <row r="8" spans="1:7" ht="17" x14ac:dyDescent="0.35">
      <c r="A8" s="218" t="s">
        <v>579</v>
      </c>
      <c r="B8" s="218"/>
      <c r="C8" s="62" t="e">
        <f>E18+E27+E35+E39+E45+E48</f>
        <v>#DIV/0!</v>
      </c>
      <c r="D8" s="63"/>
      <c r="E8" s="63"/>
      <c r="F8" s="68"/>
      <c r="G8" s="66">
        <f>SUM(COUNTIF(F12:F35,"Suspicious")+COUNTIF(F38:F48,"Suspicious"))</f>
        <v>1</v>
      </c>
    </row>
    <row r="9" spans="1:7" ht="17" x14ac:dyDescent="0.35">
      <c r="A9" s="218" t="s">
        <v>580</v>
      </c>
      <c r="B9" s="218"/>
      <c r="C9" s="69" t="e">
        <f>IF(C8&lt;=33,"Non-Significant",IF(C8&lt;=50,"Significant",IF(C8&lt;=75,"Suspicious","Malignant")))</f>
        <v>#DIV/0!</v>
      </c>
      <c r="D9" s="63"/>
      <c r="E9" s="63"/>
      <c r="F9" s="70"/>
      <c r="G9" s="66">
        <f>SUM(COUNTIF(F12:F35,"Malignant")+COUNTIF(F38:F48,"Malignant"))</f>
        <v>9</v>
      </c>
    </row>
    <row r="10" spans="1:7" ht="17" x14ac:dyDescent="0.35">
      <c r="A10" s="218" t="s">
        <v>581</v>
      </c>
      <c r="B10" s="218"/>
      <c r="C10" s="69"/>
      <c r="D10" s="63"/>
      <c r="E10" s="63"/>
      <c r="F10" s="69" t="s">
        <v>387</v>
      </c>
      <c r="G10" s="66">
        <f>SUM(G6:G9)</f>
        <v>11</v>
      </c>
    </row>
    <row r="11" spans="1:7" x14ac:dyDescent="0.35">
      <c r="A11" s="71"/>
      <c r="B11" s="72" t="s">
        <v>3</v>
      </c>
      <c r="C11" s="71" t="s">
        <v>553</v>
      </c>
      <c r="D11" s="71" t="s">
        <v>561</v>
      </c>
      <c r="E11" s="71" t="s">
        <v>552</v>
      </c>
      <c r="F11" s="71" t="s">
        <v>554</v>
      </c>
      <c r="G11" s="71" t="s">
        <v>555</v>
      </c>
    </row>
    <row r="12" spans="1:7" ht="16" x14ac:dyDescent="0.35">
      <c r="A12" s="62">
        <v>1</v>
      </c>
      <c r="B12" s="73" t="s">
        <v>546</v>
      </c>
      <c r="C12" s="62">
        <v>4</v>
      </c>
      <c r="D12" s="74"/>
      <c r="E12" s="74">
        <f>'Input-SCAN'!I19</f>
        <v>4</v>
      </c>
      <c r="F12" s="69" t="str">
        <f>'Input-SCAN'!K14</f>
        <v>Malignant</v>
      </c>
      <c r="G12" s="69"/>
    </row>
    <row r="13" spans="1:7" ht="16" x14ac:dyDescent="0.35">
      <c r="A13" s="62">
        <v>2</v>
      </c>
      <c r="B13" s="73" t="s">
        <v>547</v>
      </c>
      <c r="C13" s="62">
        <v>4</v>
      </c>
      <c r="D13" s="74"/>
      <c r="E13" s="74" t="e">
        <f>'Input-SCAN'!I29</f>
        <v>#DIV/0!</v>
      </c>
      <c r="F13" s="69" t="e">
        <f>'Input-SCAN'!K26</f>
        <v>#DIV/0!</v>
      </c>
      <c r="G13" s="69"/>
    </row>
    <row r="14" spans="1:7" ht="16" x14ac:dyDescent="0.35">
      <c r="A14" s="62">
        <v>3</v>
      </c>
      <c r="B14" s="73" t="s">
        <v>548</v>
      </c>
      <c r="C14" s="62">
        <v>3</v>
      </c>
      <c r="D14" s="74"/>
      <c r="E14" s="74">
        <f>'Input-SCAN'!I38</f>
        <v>3</v>
      </c>
      <c r="F14" s="69" t="str">
        <f>'Input-SCAN'!K35</f>
        <v>Malignant</v>
      </c>
      <c r="G14" s="69"/>
    </row>
    <row r="15" spans="1:7" ht="16" x14ac:dyDescent="0.35">
      <c r="A15" s="62">
        <v>4</v>
      </c>
      <c r="B15" s="73" t="s">
        <v>549</v>
      </c>
      <c r="C15" s="62">
        <v>3</v>
      </c>
      <c r="D15" s="74"/>
      <c r="E15" s="74">
        <f>'Input-SCAN'!I46</f>
        <v>3</v>
      </c>
      <c r="F15" s="69" t="str">
        <f>'Input-SCAN'!K43</f>
        <v>Malignant</v>
      </c>
      <c r="G15" s="69"/>
    </row>
    <row r="16" spans="1:7" ht="16" x14ac:dyDescent="0.35">
      <c r="A16" s="62">
        <v>5</v>
      </c>
      <c r="B16" s="73" t="s">
        <v>550</v>
      </c>
      <c r="C16" s="62">
        <v>4</v>
      </c>
      <c r="D16" s="74"/>
      <c r="E16" s="74">
        <f>'Input-SCAN'!I57</f>
        <v>2.5</v>
      </c>
      <c r="F16" s="69" t="str">
        <f>'Input-SCAN'!K53</f>
        <v>Suspicious</v>
      </c>
      <c r="G16" s="69"/>
    </row>
    <row r="17" spans="1:7" ht="16" x14ac:dyDescent="0.35">
      <c r="A17" s="62">
        <v>6</v>
      </c>
      <c r="B17" s="73" t="s">
        <v>551</v>
      </c>
      <c r="C17" s="62">
        <v>2</v>
      </c>
      <c r="D17" s="74"/>
      <c r="E17" s="74">
        <f>'Input-SCAN'!I69</f>
        <v>2</v>
      </c>
      <c r="F17" s="69" t="str">
        <f>'Input-SCAN'!K64</f>
        <v>Malignant</v>
      </c>
      <c r="G17" s="69"/>
    </row>
    <row r="18" spans="1:7" ht="16" x14ac:dyDescent="0.35">
      <c r="A18" s="71"/>
      <c r="B18" s="72" t="s">
        <v>568</v>
      </c>
      <c r="C18" s="75">
        <f>SUM(C11:C17)</f>
        <v>20</v>
      </c>
      <c r="D18" s="76"/>
      <c r="E18" s="77" t="e">
        <f>SUM(E11:E17)</f>
        <v>#DIV/0!</v>
      </c>
      <c r="F18" s="71"/>
      <c r="G18" s="71"/>
    </row>
    <row r="19" spans="1:7" ht="16" x14ac:dyDescent="0.35">
      <c r="A19" s="62">
        <v>7</v>
      </c>
      <c r="B19" s="73" t="s">
        <v>490</v>
      </c>
      <c r="C19" s="62">
        <v>15</v>
      </c>
      <c r="D19" s="78" t="e">
        <f>'Input-SCAN'!H73</f>
        <v>#DIV/0!</v>
      </c>
      <c r="E19" s="74" t="e">
        <f>'Input-SCAN'!I73</f>
        <v>#DIV/0!</v>
      </c>
      <c r="F19" s="69" t="e">
        <f>'Input-SCAN'!J73</f>
        <v>#DIV/0!</v>
      </c>
      <c r="G19" s="69"/>
    </row>
    <row r="20" spans="1:7" ht="16" x14ac:dyDescent="0.35">
      <c r="A20" s="62">
        <v>8</v>
      </c>
      <c r="B20" s="73" t="s">
        <v>556</v>
      </c>
      <c r="C20" s="62">
        <v>4</v>
      </c>
      <c r="D20" s="78" t="e">
        <f>'Input-SCAN'!H74</f>
        <v>#DIV/0!</v>
      </c>
      <c r="E20" s="74" t="e">
        <f>'Input-SCAN'!I74</f>
        <v>#DIV/0!</v>
      </c>
      <c r="F20" s="69" t="e">
        <f>'Input-SCAN'!J74</f>
        <v>#DIV/0!</v>
      </c>
      <c r="G20" s="69"/>
    </row>
    <row r="21" spans="1:7" ht="16" x14ac:dyDescent="0.35">
      <c r="A21" s="62">
        <v>9</v>
      </c>
      <c r="B21" s="73" t="s">
        <v>557</v>
      </c>
      <c r="C21" s="62">
        <v>4</v>
      </c>
      <c r="D21" s="78" t="e">
        <f>'Input-SCAN'!H75</f>
        <v>#DIV/0!</v>
      </c>
      <c r="E21" s="74" t="e">
        <f>'Input-SCAN'!I75</f>
        <v>#DIV/0!</v>
      </c>
      <c r="F21" s="69" t="e">
        <f>'Input-SCAN'!J75</f>
        <v>#DIV/0!</v>
      </c>
      <c r="G21" s="69"/>
    </row>
    <row r="22" spans="1:7" ht="16" x14ac:dyDescent="0.35">
      <c r="A22" s="62">
        <v>10</v>
      </c>
      <c r="B22" s="73" t="s">
        <v>558</v>
      </c>
      <c r="C22" s="62">
        <v>3</v>
      </c>
      <c r="D22" s="78" t="e">
        <f>'Input-SCAN'!H76</f>
        <v>#DIV/0!</v>
      </c>
      <c r="E22" s="74" t="e">
        <f>'Input-SCAN'!I76</f>
        <v>#DIV/0!</v>
      </c>
      <c r="F22" s="69" t="e">
        <f>'Input-SCAN'!J76</f>
        <v>#DIV/0!</v>
      </c>
      <c r="G22" s="69"/>
    </row>
    <row r="23" spans="1:7" ht="16" x14ac:dyDescent="0.35">
      <c r="A23" s="62">
        <v>11</v>
      </c>
      <c r="B23" s="73" t="s">
        <v>494</v>
      </c>
      <c r="C23" s="62">
        <v>3</v>
      </c>
      <c r="D23" s="78" t="e">
        <f>'Input-SCAN'!H77</f>
        <v>#DIV/0!</v>
      </c>
      <c r="E23" s="74" t="e">
        <f>'Input-SCAN'!I77</f>
        <v>#DIV/0!</v>
      </c>
      <c r="F23" s="69" t="e">
        <f>'Input-SCAN'!J77</f>
        <v>#DIV/0!</v>
      </c>
      <c r="G23" s="69"/>
    </row>
    <row r="24" spans="1:7" ht="16" x14ac:dyDescent="0.35">
      <c r="A24" s="62">
        <v>12</v>
      </c>
      <c r="B24" s="73" t="s">
        <v>559</v>
      </c>
      <c r="C24" s="62">
        <v>3</v>
      </c>
      <c r="D24" s="78" t="e">
        <f>'Input-SCAN'!H78</f>
        <v>#DIV/0!</v>
      </c>
      <c r="E24" s="74" t="e">
        <f>'Input-SCAN'!I78</f>
        <v>#DIV/0!</v>
      </c>
      <c r="F24" s="69" t="e">
        <f>'Input-SCAN'!J78</f>
        <v>#DIV/0!</v>
      </c>
      <c r="G24" s="69"/>
    </row>
    <row r="25" spans="1:7" ht="16" x14ac:dyDescent="0.35">
      <c r="A25" s="62">
        <v>13</v>
      </c>
      <c r="B25" s="73" t="s">
        <v>560</v>
      </c>
      <c r="C25" s="62">
        <v>4</v>
      </c>
      <c r="D25" s="78" t="e">
        <f>'Input-SCAN'!H79</f>
        <v>#DIV/0!</v>
      </c>
      <c r="E25" s="74" t="e">
        <f>'Input-SCAN'!I79</f>
        <v>#DIV/0!</v>
      </c>
      <c r="F25" s="69" t="e">
        <f>'Input-SCAN'!J79</f>
        <v>#DIV/0!</v>
      </c>
      <c r="G25" s="69"/>
    </row>
    <row r="26" spans="1:7" ht="16" x14ac:dyDescent="0.35">
      <c r="A26" s="62">
        <v>14</v>
      </c>
      <c r="B26" s="73" t="s">
        <v>496</v>
      </c>
      <c r="C26" s="62">
        <v>4</v>
      </c>
      <c r="D26" s="78" t="e">
        <f>'Input-SCAN'!H80</f>
        <v>#DIV/0!</v>
      </c>
      <c r="E26" s="74" t="e">
        <f>'Input-SCAN'!I80</f>
        <v>#DIV/0!</v>
      </c>
      <c r="F26" s="69" t="e">
        <f>'Input-SCAN'!J80</f>
        <v>#DIV/0!</v>
      </c>
      <c r="G26" s="69"/>
    </row>
    <row r="27" spans="1:7" ht="16" x14ac:dyDescent="0.35">
      <c r="A27" s="75"/>
      <c r="B27" s="72" t="s">
        <v>567</v>
      </c>
      <c r="C27" s="75">
        <f>SUM(C19:C26)</f>
        <v>40</v>
      </c>
      <c r="D27" s="76"/>
      <c r="E27" s="77" t="e">
        <f>SUM(E19:E26)</f>
        <v>#DIV/0!</v>
      </c>
      <c r="F27" s="71"/>
      <c r="G27" s="71"/>
    </row>
    <row r="28" spans="1:7" ht="16" x14ac:dyDescent="0.35">
      <c r="A28" s="62">
        <v>15</v>
      </c>
      <c r="B28" s="73" t="s">
        <v>442</v>
      </c>
      <c r="C28" s="62">
        <v>5</v>
      </c>
      <c r="D28" s="78" t="e">
        <f>'Input-SCAN'!H85</f>
        <v>#DIV/0!</v>
      </c>
      <c r="E28" s="78" t="e">
        <f>'Input-SCAN'!I85</f>
        <v>#DIV/0!</v>
      </c>
      <c r="F28" s="79" t="e">
        <f>'Input-SCAN'!J85</f>
        <v>#DIV/0!</v>
      </c>
      <c r="G28" s="69"/>
    </row>
    <row r="29" spans="1:7" ht="35" customHeight="1" x14ac:dyDescent="0.35">
      <c r="A29" s="62">
        <v>16</v>
      </c>
      <c r="B29" s="61" t="s">
        <v>562</v>
      </c>
      <c r="C29" s="62">
        <v>5</v>
      </c>
      <c r="D29" s="74" t="e">
        <f>'Input-SCAN'!H86</f>
        <v>#DIV/0!</v>
      </c>
      <c r="E29" s="74" t="e">
        <f>'Input-SCAN'!I86</f>
        <v>#DIV/0!</v>
      </c>
      <c r="F29" s="69" t="e">
        <f>'Input-SCAN'!J86</f>
        <v>#DIV/0!</v>
      </c>
      <c r="G29" s="69"/>
    </row>
    <row r="30" spans="1:7" ht="16" x14ac:dyDescent="0.35">
      <c r="A30" s="62">
        <v>17</v>
      </c>
      <c r="B30" s="73" t="s">
        <v>563</v>
      </c>
      <c r="C30" s="62">
        <v>5</v>
      </c>
      <c r="D30" s="74"/>
      <c r="E30" s="74">
        <f>'Input-SCAN'!I91</f>
        <v>5</v>
      </c>
      <c r="F30" s="69" t="str">
        <f>'Input-SCAN'!J91</f>
        <v>Malignant</v>
      </c>
      <c r="G30" s="69"/>
    </row>
    <row r="31" spans="1:7" ht="16" x14ac:dyDescent="0.35">
      <c r="A31" s="69"/>
      <c r="B31" s="73" t="s">
        <v>450</v>
      </c>
      <c r="C31" s="69"/>
      <c r="D31" s="78">
        <f>'Input-SCAN'!H87</f>
        <v>0</v>
      </c>
      <c r="E31" s="74"/>
      <c r="F31" s="69"/>
      <c r="G31" s="69"/>
    </row>
    <row r="32" spans="1:7" ht="16" x14ac:dyDescent="0.35">
      <c r="A32" s="69"/>
      <c r="B32" s="73" t="s">
        <v>451</v>
      </c>
      <c r="C32" s="69"/>
      <c r="D32" s="78">
        <f>'Input-SCAN'!H88</f>
        <v>0</v>
      </c>
      <c r="E32" s="74"/>
      <c r="F32" s="69"/>
      <c r="G32" s="69"/>
    </row>
    <row r="33" spans="1:7" ht="16" x14ac:dyDescent="0.35">
      <c r="A33" s="69"/>
      <c r="B33" s="73" t="s">
        <v>452</v>
      </c>
      <c r="C33" s="69"/>
      <c r="D33" s="78">
        <f>'Input-SCAN'!H89</f>
        <v>0</v>
      </c>
      <c r="E33" s="74"/>
      <c r="F33" s="69"/>
      <c r="G33" s="69"/>
    </row>
    <row r="34" spans="1:7" ht="16" x14ac:dyDescent="0.35">
      <c r="A34" s="69"/>
      <c r="B34" s="73" t="s">
        <v>453</v>
      </c>
      <c r="C34" s="69"/>
      <c r="D34" s="78">
        <f>'Input-SCAN'!H90</f>
        <v>0</v>
      </c>
      <c r="E34" s="74"/>
      <c r="F34" s="69"/>
      <c r="G34" s="69"/>
    </row>
    <row r="35" spans="1:7" ht="16" x14ac:dyDescent="0.35">
      <c r="A35" s="71"/>
      <c r="B35" s="72" t="s">
        <v>569</v>
      </c>
      <c r="C35" s="75">
        <f>SUM(C28:C34)</f>
        <v>15</v>
      </c>
      <c r="D35" s="76"/>
      <c r="E35" s="77" t="e">
        <f>SUM(E28:E34)</f>
        <v>#DIV/0!</v>
      </c>
      <c r="F35" s="71"/>
      <c r="G35" s="71"/>
    </row>
    <row r="36" spans="1:7" ht="16" x14ac:dyDescent="0.35">
      <c r="A36" s="69"/>
      <c r="B36" s="73" t="s">
        <v>564</v>
      </c>
      <c r="C36" s="62">
        <f>'Output-Financial Report'!D15</f>
        <v>8</v>
      </c>
      <c r="D36" s="74" t="e">
        <f>'Input-SCAN'!H95</f>
        <v>#DIV/0!</v>
      </c>
      <c r="E36" s="74" t="e">
        <f>'Input-SCAN'!I95</f>
        <v>#DIV/0!</v>
      </c>
      <c r="F36" s="69" t="e">
        <f>'Input-SCAN'!J95</f>
        <v>#DIV/0!</v>
      </c>
      <c r="G36" s="69"/>
    </row>
    <row r="37" spans="1:7" ht="16" x14ac:dyDescent="0.35">
      <c r="A37" s="69"/>
      <c r="B37" s="73" t="s">
        <v>565</v>
      </c>
      <c r="C37" s="62">
        <f>'Output-Financial Report'!D16</f>
        <v>2</v>
      </c>
      <c r="D37" s="74" t="e">
        <f>'Input-SCAN'!H96</f>
        <v>#DIV/0!</v>
      </c>
      <c r="E37" s="74" t="e">
        <f>'Input-SCAN'!I96</f>
        <v>#DIV/0!</v>
      </c>
      <c r="F37" s="69" t="e">
        <f>'Input-SCAN'!J96</f>
        <v>#DIV/0!</v>
      </c>
      <c r="G37" s="69"/>
    </row>
    <row r="38" spans="1:7" ht="16" x14ac:dyDescent="0.35">
      <c r="A38" s="62">
        <v>18</v>
      </c>
      <c r="B38" s="73" t="s">
        <v>566</v>
      </c>
      <c r="C38" s="62">
        <f>SUM(C36:C37)</f>
        <v>10</v>
      </c>
      <c r="D38" s="74"/>
      <c r="E38" s="80" t="e">
        <f>SUM(E36:E37)</f>
        <v>#DIV/0!</v>
      </c>
      <c r="F38" s="69" t="str">
        <f>IF(COUNTIF(F36:F37,"Malignant"),"Malignant",IF(COUNTIF(F36:F37,"Suspicious"),"Suspicious",IF(COUNTIF(F36:F37,"Significant"),"Significant","Non-Significant")))</f>
        <v>Non-Significant</v>
      </c>
      <c r="G38" s="69"/>
    </row>
    <row r="39" spans="1:7" ht="16" x14ac:dyDescent="0.35">
      <c r="A39" s="75"/>
      <c r="B39" s="72" t="s">
        <v>574</v>
      </c>
      <c r="C39" s="75">
        <f>C38</f>
        <v>10</v>
      </c>
      <c r="D39" s="76"/>
      <c r="E39" s="77" t="e">
        <f>E38</f>
        <v>#DIV/0!</v>
      </c>
      <c r="F39" s="71"/>
      <c r="G39" s="71"/>
    </row>
    <row r="40" spans="1:7" ht="16" x14ac:dyDescent="0.35">
      <c r="A40" s="62">
        <v>19</v>
      </c>
      <c r="B40" s="73" t="s">
        <v>63</v>
      </c>
      <c r="C40" s="62">
        <v>2</v>
      </c>
      <c r="D40" s="74"/>
      <c r="E40" s="74">
        <f>'Input-SCAN'!I107</f>
        <v>2</v>
      </c>
      <c r="F40" s="69" t="str">
        <f>'Input-SCAN'!K102</f>
        <v>Malignant</v>
      </c>
      <c r="G40" s="69"/>
    </row>
    <row r="41" spans="1:7" ht="16" x14ac:dyDescent="0.35">
      <c r="A41" s="62">
        <v>20</v>
      </c>
      <c r="B41" s="73" t="s">
        <v>570</v>
      </c>
      <c r="C41" s="62">
        <v>2</v>
      </c>
      <c r="D41" s="74"/>
      <c r="E41" s="74">
        <f>'Input-SCAN'!I114</f>
        <v>2</v>
      </c>
      <c r="F41" s="69" t="str">
        <f>'Input-SCAN'!K111</f>
        <v>Malignant</v>
      </c>
      <c r="G41" s="69"/>
    </row>
    <row r="42" spans="1:7" ht="16" x14ac:dyDescent="0.35">
      <c r="A42" s="62">
        <v>21</v>
      </c>
      <c r="B42" s="73" t="s">
        <v>571</v>
      </c>
      <c r="C42" s="62">
        <v>2</v>
      </c>
      <c r="D42" s="74"/>
      <c r="E42" s="74" t="e">
        <f>'Input-SCAN'!I123</f>
        <v>#DIV/0!</v>
      </c>
      <c r="F42" s="69" t="e">
        <f>'Input-SCAN'!K119</f>
        <v>#DIV/0!</v>
      </c>
      <c r="G42" s="69"/>
    </row>
    <row r="43" spans="1:7" ht="16" x14ac:dyDescent="0.35">
      <c r="A43" s="62">
        <v>22</v>
      </c>
      <c r="B43" s="73" t="s">
        <v>522</v>
      </c>
      <c r="C43" s="62">
        <v>2</v>
      </c>
      <c r="D43" s="74"/>
      <c r="E43" s="74">
        <f>'Input-SCAN'!I131</f>
        <v>2</v>
      </c>
      <c r="F43" s="69" t="str">
        <f>'Input-SCAN'!K128</f>
        <v>Malignant</v>
      </c>
      <c r="G43" s="69"/>
    </row>
    <row r="44" spans="1:7" ht="16" x14ac:dyDescent="0.35">
      <c r="A44" s="62">
        <v>23</v>
      </c>
      <c r="B44" s="73" t="s">
        <v>572</v>
      </c>
      <c r="C44" s="62">
        <v>2</v>
      </c>
      <c r="D44" s="74"/>
      <c r="E44" s="74">
        <f>'Input-SCAN'!I141</f>
        <v>2</v>
      </c>
      <c r="F44" s="69" t="str">
        <f>'Input-SCAN'!K137</f>
        <v>Malignant</v>
      </c>
      <c r="G44" s="69"/>
    </row>
    <row r="45" spans="1:7" ht="16" x14ac:dyDescent="0.35">
      <c r="A45" s="71"/>
      <c r="B45" s="72" t="s">
        <v>575</v>
      </c>
      <c r="C45" s="75">
        <f>SUM(C40:C44)</f>
        <v>10</v>
      </c>
      <c r="D45" s="76"/>
      <c r="E45" s="77" t="e">
        <f>SUM(E40:E44)</f>
        <v>#DIV/0!</v>
      </c>
      <c r="F45" s="71"/>
      <c r="G45" s="71"/>
    </row>
    <row r="46" spans="1:7" ht="16" x14ac:dyDescent="0.35">
      <c r="A46" s="62">
        <v>24</v>
      </c>
      <c r="B46" s="73" t="s">
        <v>576</v>
      </c>
      <c r="C46" s="62">
        <v>3</v>
      </c>
      <c r="D46" s="74" t="e">
        <f>'Input-SCAN'!H145</f>
        <v>#DIV/0!</v>
      </c>
      <c r="E46" s="74" t="e">
        <f>'Input-SCAN'!I145</f>
        <v>#DIV/0!</v>
      </c>
      <c r="F46" s="69" t="e">
        <f>'Input-SCAN'!J145</f>
        <v>#DIV/0!</v>
      </c>
      <c r="G46" s="69"/>
    </row>
    <row r="47" spans="1:7" ht="16" x14ac:dyDescent="0.35">
      <c r="A47" s="62">
        <v>25</v>
      </c>
      <c r="B47" s="73" t="s">
        <v>577</v>
      </c>
      <c r="C47" s="62">
        <v>2</v>
      </c>
      <c r="D47" s="74" t="e">
        <f>'Input-SCAN'!H146</f>
        <v>#DIV/0!</v>
      </c>
      <c r="E47" s="74" t="e">
        <f>'Input-SCAN'!I146</f>
        <v>#DIV/0!</v>
      </c>
      <c r="F47" s="69" t="e">
        <f>'Input-SCAN'!J146</f>
        <v>#DIV/0!</v>
      </c>
      <c r="G47" s="69"/>
    </row>
    <row r="48" spans="1:7" x14ac:dyDescent="0.35">
      <c r="A48" s="71"/>
      <c r="B48" s="72" t="s">
        <v>575</v>
      </c>
      <c r="C48" s="75">
        <f>SUM(C46:C47)</f>
        <v>5</v>
      </c>
      <c r="D48" s="72"/>
      <c r="E48" s="81" t="e">
        <f>SUM(E46:E47)</f>
        <v>#DIV/0!</v>
      </c>
      <c r="F48" s="71"/>
      <c r="G48" s="71"/>
    </row>
    <row r="49" spans="1:7" x14ac:dyDescent="0.35">
      <c r="A49" s="63"/>
      <c r="B49" s="64" t="s">
        <v>584</v>
      </c>
      <c r="C49" s="63"/>
      <c r="D49" s="63"/>
      <c r="E49" s="63"/>
      <c r="F49" s="63"/>
      <c r="G49" s="63"/>
    </row>
    <row r="50" spans="1:7" x14ac:dyDescent="0.35">
      <c r="A50" s="63"/>
      <c r="B50" s="64" t="s">
        <v>585</v>
      </c>
      <c r="C50" s="63"/>
      <c r="D50" s="63"/>
      <c r="E50" s="63" t="s">
        <v>586</v>
      </c>
      <c r="F50" s="63"/>
      <c r="G50" s="63"/>
    </row>
  </sheetData>
  <mergeCells count="8">
    <mergeCell ref="A9:B9"/>
    <mergeCell ref="A10:B10"/>
    <mergeCell ref="B1:G1"/>
    <mergeCell ref="C2:G2"/>
    <mergeCell ref="F5:G5"/>
    <mergeCell ref="A6:C6"/>
    <mergeCell ref="A7:B7"/>
    <mergeCell ref="A8:B8"/>
  </mergeCells>
  <conditionalFormatting sqref="C10">
    <cfRule type="expression" dxfId="30" priority="1">
      <formula>C8&lt;33</formula>
    </cfRule>
    <cfRule type="expression" dxfId="29" priority="2">
      <formula>C9="Malignant"</formula>
    </cfRule>
    <cfRule type="expression" dxfId="28" priority="3">
      <formula>C9="Suspicious"</formula>
    </cfRule>
    <cfRule type="expression" dxfId="27" priority="4">
      <formula>C9="Significant"</formula>
    </cfRule>
    <cfRule type="expression" dxfId="26" priority="5">
      <formula>C9="Non-Significant"</formula>
    </cfRule>
  </conditionalFormatting>
  <conditionalFormatting sqref="G12:G17">
    <cfRule type="expression" dxfId="24" priority="26">
      <formula>F12="Non-Significant"</formula>
    </cfRule>
    <cfRule type="expression" dxfId="23" priority="27">
      <formula>F12="Malignant"</formula>
    </cfRule>
    <cfRule type="expression" dxfId="22" priority="28">
      <formula>F12="Suspicious"</formula>
    </cfRule>
    <cfRule type="expression" dxfId="21" priority="29">
      <formula>F12="Significant"</formula>
    </cfRule>
    <cfRule type="expression" dxfId="20" priority="30">
      <formula>F12="Non Significant"</formula>
    </cfRule>
  </conditionalFormatting>
  <conditionalFormatting sqref="G19:G26">
    <cfRule type="expression" dxfId="19" priority="21">
      <formula>F19="Non-Significant"</formula>
    </cfRule>
    <cfRule type="expression" dxfId="18" priority="22">
      <formula>F19="Malignant"</formula>
    </cfRule>
    <cfRule type="expression" dxfId="17" priority="23">
      <formula>F19="Suspicious"</formula>
    </cfRule>
    <cfRule type="expression" dxfId="16" priority="24">
      <formula>F19="Significant"</formula>
    </cfRule>
    <cfRule type="expression" dxfId="15" priority="25">
      <formula>F19="Non Significant"</formula>
    </cfRule>
  </conditionalFormatting>
  <conditionalFormatting sqref="G28:G30">
    <cfRule type="expression" dxfId="14" priority="16">
      <formula>F28="Non-Significant"</formula>
    </cfRule>
    <cfRule type="expression" dxfId="13" priority="17">
      <formula>F28="Malignant"</formula>
    </cfRule>
    <cfRule type="expression" dxfId="12" priority="18">
      <formula>F28="Suspicious"</formula>
    </cfRule>
    <cfRule type="expression" dxfId="11" priority="19">
      <formula>F28="Significant"</formula>
    </cfRule>
    <cfRule type="expression" dxfId="10" priority="20">
      <formula>F28="Non Significant"</formula>
    </cfRule>
  </conditionalFormatting>
  <conditionalFormatting sqref="G38:G44">
    <cfRule type="expression" dxfId="9" priority="11">
      <formula>F38="Non-Significant"</formula>
    </cfRule>
    <cfRule type="expression" dxfId="8" priority="12">
      <formula>F38="Malignant"</formula>
    </cfRule>
    <cfRule type="expression" dxfId="7" priority="13">
      <formula>F38="Suspicious"</formula>
    </cfRule>
    <cfRule type="expression" dxfId="6" priority="14">
      <formula>F38="Significant"</formula>
    </cfRule>
    <cfRule type="expression" dxfId="5" priority="15">
      <formula>F38="Non Significant"</formula>
    </cfRule>
  </conditionalFormatting>
  <conditionalFormatting sqref="G46:G47">
    <cfRule type="expression" dxfId="4" priority="6">
      <formula>F46="Non-Significant"</formula>
    </cfRule>
    <cfRule type="expression" dxfId="3" priority="7">
      <formula>F46="Malignant"</formula>
    </cfRule>
    <cfRule type="expression" dxfId="2" priority="8">
      <formula>F46="Suspicious"</formula>
    </cfRule>
    <cfRule type="expression" dxfId="1" priority="9">
      <formula>F46="Significant"</formula>
    </cfRule>
    <cfRule type="expression" dxfId="0" priority="10">
      <formula>F46="Non Significant"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operator="containsText" id="{F2E8CF0B-6863-47B6-9E81-FDC9E4A2DB18}">
            <xm:f>NOT(ISERROR(SEARCH($F$12="Non Significant",F12)))</xm:f>
            <xm:f>$F$12="Non Significant"</xm:f>
            <x14:dxf>
              <fill>
                <patternFill>
                  <bgColor rgb="FF00B050"/>
                </patternFill>
              </fill>
            </x14:dxf>
          </x14:cfRule>
          <xm:sqref>F12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64A7-EDD2-4C49-A2A8-245B2A74C5A1}">
  <dimension ref="A1:L20"/>
  <sheetViews>
    <sheetView workbookViewId="0">
      <selection sqref="A1:XFD1048576"/>
    </sheetView>
  </sheetViews>
  <sheetFormatPr defaultRowHeight="14.5" x14ac:dyDescent="0.35"/>
  <cols>
    <col min="1" max="1" width="17.6328125" customWidth="1"/>
    <col min="2" max="2" width="18" customWidth="1"/>
    <col min="4" max="4" width="12.26953125" bestFit="1" customWidth="1"/>
    <col min="6" max="6" width="11.90625" bestFit="1" customWidth="1"/>
    <col min="7" max="7" width="4.90625" customWidth="1"/>
    <col min="8" max="8" width="2.90625" customWidth="1"/>
    <col min="9" max="9" width="5.08984375" customWidth="1"/>
    <col min="10" max="10" width="5.7265625" customWidth="1"/>
    <col min="12" max="12" width="9.453125" bestFit="1" customWidth="1"/>
  </cols>
  <sheetData>
    <row r="1" spans="1:12" x14ac:dyDescent="0.35">
      <c r="A1" t="s">
        <v>459</v>
      </c>
      <c r="B1" t="s">
        <v>399</v>
      </c>
      <c r="C1" t="s">
        <v>249</v>
      </c>
      <c r="D1" t="s">
        <v>416</v>
      </c>
      <c r="E1" t="s">
        <v>409</v>
      </c>
      <c r="F1" t="s">
        <v>501</v>
      </c>
      <c r="G1" t="s">
        <v>400</v>
      </c>
      <c r="H1" t="s">
        <v>401</v>
      </c>
      <c r="I1" t="s">
        <v>402</v>
      </c>
      <c r="J1" t="s">
        <v>403</v>
      </c>
      <c r="L1" t="s">
        <v>502</v>
      </c>
    </row>
    <row r="2" spans="1:12" x14ac:dyDescent="0.35">
      <c r="A2" t="s">
        <v>252</v>
      </c>
      <c r="B2" t="s">
        <v>450</v>
      </c>
      <c r="C2">
        <f>'Output-PEARLS'!F6</f>
        <v>0</v>
      </c>
      <c r="L2" t="s">
        <v>503</v>
      </c>
    </row>
    <row r="3" spans="1:12" x14ac:dyDescent="0.35">
      <c r="A3" t="s">
        <v>447</v>
      </c>
      <c r="B3" t="s">
        <v>451</v>
      </c>
      <c r="C3">
        <f>'Output-PEARLS'!F7</f>
        <v>0</v>
      </c>
      <c r="L3" t="s">
        <v>504</v>
      </c>
    </row>
    <row r="4" spans="1:12" x14ac:dyDescent="0.35">
      <c r="A4" t="s">
        <v>448</v>
      </c>
      <c r="B4" t="s">
        <v>452</v>
      </c>
      <c r="C4">
        <f>'Output-PEARLS'!F8</f>
        <v>0</v>
      </c>
      <c r="L4" t="s">
        <v>505</v>
      </c>
    </row>
    <row r="5" spans="1:12" x14ac:dyDescent="0.35">
      <c r="A5" t="s">
        <v>449</v>
      </c>
      <c r="B5" t="s">
        <v>453</v>
      </c>
      <c r="C5">
        <f>('Output-PEARLS'!F9+'Output-PEARLS'!F10+'Output-PEARLS'!F11)/3</f>
        <v>0</v>
      </c>
    </row>
    <row r="6" spans="1:12" x14ac:dyDescent="0.35">
      <c r="B6" t="s">
        <v>454</v>
      </c>
      <c r="D6">
        <v>5</v>
      </c>
      <c r="E6">
        <f>IF(C2&lt;100,5,IF(C3&lt;50,3.75,IF(C4&lt;25,2.5,IF(C5&lt;1,2.5,1.25))))</f>
        <v>5</v>
      </c>
      <c r="F6" t="str">
        <f>IF(E6=1.25,L4,IF(E6=2.5,L3,IF(E6=3.75,L2,IF(E6=5,L1))))</f>
        <v>Malignant</v>
      </c>
      <c r="G6" t="s">
        <v>455</v>
      </c>
      <c r="H6" t="s">
        <v>456</v>
      </c>
      <c r="I6" t="s">
        <v>457</v>
      </c>
      <c r="J6" t="s">
        <v>458</v>
      </c>
    </row>
    <row r="7" spans="1:12" x14ac:dyDescent="0.35">
      <c r="A7" t="s">
        <v>264</v>
      </c>
      <c r="B7" t="s">
        <v>410</v>
      </c>
      <c r="C7" t="e">
        <f>'Output-PEARLS'!F14</f>
        <v>#DIV/0!</v>
      </c>
      <c r="D7">
        <v>4</v>
      </c>
      <c r="E7" t="e">
        <f>IF(C7&lt;100,4,IF(C7&lt;105,3,IF(C7&lt;110,2,IF(C7&gt;=110,1))))</f>
        <v>#DIV/0!</v>
      </c>
      <c r="F7" t="e">
        <f>IF(E7=1,L4,IF(E7=2,L3,IF(E7=3,L2,IF(E7=4,L1))))</f>
        <v>#DIV/0!</v>
      </c>
      <c r="G7" t="s">
        <v>412</v>
      </c>
      <c r="H7" t="s">
        <v>414</v>
      </c>
      <c r="I7" t="s">
        <v>415</v>
      </c>
      <c r="J7" t="s">
        <v>413</v>
      </c>
    </row>
    <row r="8" spans="1:12" ht="16" x14ac:dyDescent="0.4">
      <c r="A8" t="s">
        <v>271</v>
      </c>
      <c r="B8" t="s">
        <v>417</v>
      </c>
      <c r="C8" s="39" t="e">
        <f>'Output-PEARLS'!F17</f>
        <v>#DIV/0!</v>
      </c>
      <c r="D8">
        <v>4</v>
      </c>
      <c r="E8" s="40" t="e">
        <f>IF(OR(C8&lt;60,C8&gt;90),4,IF(OR(AND(C8&gt;=60,C8&lt;65),AND(C8&gt;85,C8&lt;=90)),3,IF(OR(AND(C8&gt;=65,C8&lt;70),AND(C8&gt;80,C8&lt;=85)),2,IF(AND(C8&gt;=70,C8&lt;=80),1,""))))</f>
        <v>#DIV/0!</v>
      </c>
      <c r="F8" s="40" t="e">
        <f>IF(E8=1,$L$4,IF(E8=2,$L$3,IF(E8=3,$L$2,IF(E8=4,$L$1))))</f>
        <v>#DIV/0!</v>
      </c>
      <c r="G8" t="s">
        <v>418</v>
      </c>
      <c r="H8" t="s">
        <v>419</v>
      </c>
      <c r="I8" t="s">
        <v>420</v>
      </c>
      <c r="J8" t="s">
        <v>421</v>
      </c>
    </row>
    <row r="9" spans="1:12" ht="16" x14ac:dyDescent="0.4">
      <c r="A9" t="s">
        <v>339</v>
      </c>
      <c r="B9" t="s">
        <v>422</v>
      </c>
      <c r="C9" s="39" t="e">
        <f>'Output-PEARLS'!F21</f>
        <v>#DIV/0!</v>
      </c>
      <c r="D9">
        <v>3</v>
      </c>
      <c r="E9" t="e">
        <f>IF(C9&lt;=2,0.75,IF(C9&lt;=5,1.5,IF(C9&lt;=10,2.25,IF(C9&gt;10,3))))</f>
        <v>#DIV/0!</v>
      </c>
      <c r="F9" s="40" t="e">
        <f>IF(E9=0.75,$L$4,IF(E9=1.5,$L$3,IF(E9=2.25,$L$2,IF(E9=3,$L$1))))</f>
        <v>#DIV/0!</v>
      </c>
      <c r="G9" t="s">
        <v>423</v>
      </c>
      <c r="H9" t="s">
        <v>424</v>
      </c>
      <c r="I9" t="s">
        <v>425</v>
      </c>
      <c r="J9" t="s">
        <v>426</v>
      </c>
    </row>
    <row r="10" spans="1:12" ht="16" x14ac:dyDescent="0.4">
      <c r="A10" t="s">
        <v>283</v>
      </c>
      <c r="B10" t="s">
        <v>427</v>
      </c>
      <c r="C10" s="39" t="e">
        <f>'Output-PEARLS'!F23</f>
        <v>#DIV/0!</v>
      </c>
      <c r="D10">
        <v>3</v>
      </c>
      <c r="E10" s="40" t="e">
        <f>IF(OR(C10&lt;60,C10&gt;90),4,IF(OR(AND(C10&gt;=60,C10&lt;65),AND(C10&gt;85,C10&lt;=90)),3,IF(OR(AND(C10&gt;=65,C10&lt;70),AND(C10&gt;80,C10&lt;=85)),2,IF(AND(C10&gt;=70,C10&lt;=80),1,""))))</f>
        <v>#DIV/0!</v>
      </c>
      <c r="F10" s="40" t="e">
        <f>IF(E10=1,$L$4,IF(E10=2,$L$3,IF(E10=3,$L$2,IF(E10=4,$L$1))))</f>
        <v>#DIV/0!</v>
      </c>
      <c r="G10" t="s">
        <v>418</v>
      </c>
      <c r="H10" t="s">
        <v>419</v>
      </c>
      <c r="I10" t="s">
        <v>420</v>
      </c>
      <c r="J10" t="s">
        <v>421</v>
      </c>
    </row>
    <row r="11" spans="1:12" ht="16" x14ac:dyDescent="0.4">
      <c r="A11" t="s">
        <v>285</v>
      </c>
      <c r="B11" t="s">
        <v>436</v>
      </c>
      <c r="C11" s="39" t="e">
        <f>'Output-PEARLS'!F24</f>
        <v>#DIV/0!</v>
      </c>
      <c r="D11">
        <v>3</v>
      </c>
      <c r="E11" t="e">
        <f>IF(C11&lt;'Output-Capital Adequacy'!I68,0.75,IF(C11&lt;=15,1.5,IF(C11&lt;=30,2.25,IF(C8&gt;30,3))))</f>
        <v>#DIV/0!</v>
      </c>
      <c r="F11" s="40" t="e">
        <f>IF(E11=0.75,$L$4,IF(E11=1.5,$L$3,IF(E11=2.25,$L$2,IF(E11=3,$L$1))))</f>
        <v>#DIV/0!</v>
      </c>
      <c r="G11" t="s">
        <v>428</v>
      </c>
      <c r="H11" t="s">
        <v>429</v>
      </c>
      <c r="I11" t="s">
        <v>430</v>
      </c>
      <c r="J11" t="s">
        <v>431</v>
      </c>
    </row>
    <row r="12" spans="1:12" ht="16" x14ac:dyDescent="0.4">
      <c r="A12" t="s">
        <v>288</v>
      </c>
      <c r="B12" t="s">
        <v>437</v>
      </c>
      <c r="C12" s="39" t="e">
        <f>'Output-PEARLS'!F25</f>
        <v>#DIV/0!</v>
      </c>
      <c r="D12">
        <v>4</v>
      </c>
      <c r="E12" s="40" t="e">
        <f>IF(OR(C12&lt;3,C12&gt;40),4,IF(OR(AND(C12&gt;=3,C12&lt;5),AND(C12&gt;30,C12&lt;=40)),3,IF(OR(AND(C12&gt;=5,C12&lt;10),AND(C12&gt;20,C12&lt;=30)),2, IF(AND(C12&gt;=10,C12&lt;=20),1,""))))</f>
        <v>#DIV/0!</v>
      </c>
      <c r="F12" s="40" t="e">
        <f>IF(E12=1,$L$4,IF(E12=2,$L$3,IF(E12=3,$L$2,IF(E12=4,$L$1))))</f>
        <v>#DIV/0!</v>
      </c>
      <c r="G12" t="s">
        <v>438</v>
      </c>
      <c r="H12" t="s">
        <v>439</v>
      </c>
      <c r="I12" t="s">
        <v>440</v>
      </c>
      <c r="J12" t="s">
        <v>441</v>
      </c>
    </row>
    <row r="13" spans="1:12" ht="16" x14ac:dyDescent="0.4">
      <c r="A13" t="s">
        <v>298</v>
      </c>
      <c r="B13" t="s">
        <v>442</v>
      </c>
      <c r="C13" s="39" t="e">
        <f>'Output-PEARLS'!F29</f>
        <v>#DIV/0!</v>
      </c>
      <c r="D13">
        <v>4</v>
      </c>
      <c r="E13" t="e">
        <f>IF(C13&lt;5,1.25,IF(C13&lt;=20,2.5,IF(C13&lt;=40,3.75,IF(C13&gt;40,5))))</f>
        <v>#DIV/0!</v>
      </c>
      <c r="F13" s="40" t="e">
        <f>IF(E13=1.25,$L$4,IF(E13=2.5,$L$3,IF(E13=3.75,$L$2,IF(E13=5,$L$1))))</f>
        <v>#DIV/0!</v>
      </c>
      <c r="G13" t="s">
        <v>443</v>
      </c>
      <c r="H13" t="s">
        <v>444</v>
      </c>
      <c r="I13" t="s">
        <v>445</v>
      </c>
      <c r="J13" t="s">
        <v>446</v>
      </c>
    </row>
    <row r="14" spans="1:12" ht="16" x14ac:dyDescent="0.4">
      <c r="A14" t="s">
        <v>321</v>
      </c>
      <c r="B14" t="s">
        <v>477</v>
      </c>
      <c r="C14" s="39" t="e">
        <f>'Output-PEARLS'!F38</f>
        <v>#DIV/0!</v>
      </c>
      <c r="D14">
        <v>4</v>
      </c>
      <c r="E14" t="e">
        <f>IF(C14&lt;=5,1,IF(C14&lt;=7,2,IF(C14&lt;=8,3,IF(C14&gt;8,4))))</f>
        <v>#DIV/0!</v>
      </c>
      <c r="F14" s="40" t="e">
        <f>IF(E14=1,$L$4,IF(E14=2,$L$3,IF(E14=3,$L$2,IF(E14=4,$L$1))))</f>
        <v>#DIV/0!</v>
      </c>
      <c r="G14" t="s">
        <v>478</v>
      </c>
      <c r="H14" t="s">
        <v>479</v>
      </c>
      <c r="I14" t="s">
        <v>480</v>
      </c>
      <c r="J14" t="s">
        <v>481</v>
      </c>
    </row>
    <row r="15" spans="1:12" ht="16" x14ac:dyDescent="0.4">
      <c r="A15" t="s">
        <v>326</v>
      </c>
      <c r="B15" t="s">
        <v>460</v>
      </c>
      <c r="C15" t="e">
        <f>'Output-PEARLS'!F41</f>
        <v>#DIV/0!</v>
      </c>
      <c r="D15">
        <v>8</v>
      </c>
      <c r="E15" t="e">
        <f>IF(OR(C15&lt;10,C15&gt;60),8,IF(OR(AND(C15&gt;=10,C15&lt;12),AND(C15&gt;30,C15&lt;60)),6,IF(OR(AND(C15&gt;=12,C15&lt;15),AND(C15&gt;20,C15&lt;=30)),4,IF(AND(C15&gt;=15,C15&lt;=20),2,""))))</f>
        <v>#DIV/0!</v>
      </c>
      <c r="F15" s="40" t="e">
        <f>IF(E15=2,$L$4,IF(E15=4,$L$3,IF(E15=6,$L$2,IF(E15=8,$L$1))))</f>
        <v>#DIV/0!</v>
      </c>
      <c r="G15" t="s">
        <v>463</v>
      </c>
      <c r="H15" t="s">
        <v>464</v>
      </c>
      <c r="I15" t="s">
        <v>465</v>
      </c>
      <c r="J15" t="s">
        <v>466</v>
      </c>
    </row>
    <row r="16" spans="1:12" ht="16" x14ac:dyDescent="0.4">
      <c r="A16" t="s">
        <v>329</v>
      </c>
      <c r="B16" t="s">
        <v>461</v>
      </c>
      <c r="C16" t="e">
        <f>'Output-PEARLS'!F42</f>
        <v>#DIV/0!</v>
      </c>
      <c r="D16">
        <v>2</v>
      </c>
      <c r="E16" t="e">
        <f>IF(C16&lt;=0.5,0.5,IF(C16&lt;=0.75,1,IF(C16&lt;=1,1.5,IF(C16&gt;1,2))))</f>
        <v>#DIV/0!</v>
      </c>
      <c r="F16" s="40" t="e">
        <f>IF(E16=0.5,$L$4,IF(E16=1,$L$3,IF(E16=1.5,$L$2,IF(E16=2,$L$1))))</f>
        <v>#DIV/0!</v>
      </c>
      <c r="G16" t="s">
        <v>467</v>
      </c>
      <c r="H16" t="s">
        <v>468</v>
      </c>
      <c r="I16" t="s">
        <v>469</v>
      </c>
      <c r="J16" t="s">
        <v>470</v>
      </c>
    </row>
    <row r="17" spans="1:10" ht="16" x14ac:dyDescent="0.4">
      <c r="B17" t="s">
        <v>462</v>
      </c>
      <c r="D17">
        <f>SUM(D15:D16)</f>
        <v>10</v>
      </c>
      <c r="E17" t="e">
        <f>SUM(E15:E16)</f>
        <v>#DIV/0!</v>
      </c>
      <c r="F17" s="40"/>
    </row>
    <row r="18" spans="1:10" ht="16" x14ac:dyDescent="0.4">
      <c r="A18" t="s">
        <v>333</v>
      </c>
      <c r="B18" t="s">
        <v>471</v>
      </c>
      <c r="C18" t="e">
        <f>'Output-PEARLS'!F44</f>
        <v>#DIV/0!</v>
      </c>
      <c r="D18">
        <v>3</v>
      </c>
      <c r="E18" t="e">
        <f>IF(C18&lt;-20,3,IF(C18&lt;0,2.25,IF(C18=0,1.5,IF(C18&gt;0,0.75))))</f>
        <v>#DIV/0!</v>
      </c>
      <c r="F18" s="40" t="e">
        <f>IF(E18=0.75,$L$4,IF(E18=1.5,$L$3,IF(E18=2.25,$L$2,IF(E18=3,$L$1))))</f>
        <v>#DIV/0!</v>
      </c>
      <c r="G18" t="s">
        <v>472</v>
      </c>
      <c r="H18" t="s">
        <v>473</v>
      </c>
      <c r="I18" t="s">
        <v>474</v>
      </c>
      <c r="J18" t="s">
        <v>475</v>
      </c>
    </row>
    <row r="19" spans="1:10" ht="16" x14ac:dyDescent="0.4">
      <c r="A19" t="s">
        <v>336</v>
      </c>
      <c r="B19" t="s">
        <v>476</v>
      </c>
      <c r="C19" t="e">
        <f>'Output-PEARLS'!F45</f>
        <v>#DIV/0!</v>
      </c>
      <c r="D19">
        <v>2</v>
      </c>
      <c r="E19" t="e">
        <f>IF(C19&lt;-20,2,IF(C19&lt;0,1.5,IF(C19=0,1,IF(C19&gt;0,0.5))))</f>
        <v>#DIV/0!</v>
      </c>
      <c r="F19" s="40" t="e">
        <f>IF(E19=0.5,$L$4,IF(E19=1,$L$3,IF(E19=1.5,$L$2,IF(E19=2,$L$1))))</f>
        <v>#DIV/0!</v>
      </c>
      <c r="G19" t="s">
        <v>472</v>
      </c>
      <c r="H19" t="s">
        <v>473</v>
      </c>
      <c r="I19" t="s">
        <v>474</v>
      </c>
      <c r="J19" t="s">
        <v>475</v>
      </c>
    </row>
    <row r="20" spans="1:10" ht="16" x14ac:dyDescent="0.4">
      <c r="A20" t="s">
        <v>411</v>
      </c>
      <c r="B20" t="s">
        <v>408</v>
      </c>
      <c r="C20" t="e">
        <f>'Output-Capital Adequacy'!D56</f>
        <v>#DIV/0!</v>
      </c>
      <c r="D20">
        <v>15</v>
      </c>
      <c r="E20" t="e">
        <f>IF(C20&lt;8,15,IF(C20&lt;9,11.25,IF(C20&lt;10,7.5,IF(C20&gt;=10,3.75))))</f>
        <v>#DIV/0!</v>
      </c>
      <c r="F20" s="40" t="e">
        <f>IF(E20=3.75,$L$4,IF(E20=7.5,$L$3,IF(E20=11.25,$L$2,IF(E20=15,$L$1))))</f>
        <v>#DIV/0!</v>
      </c>
      <c r="G20" t="s">
        <v>404</v>
      </c>
      <c r="H20" t="s">
        <v>405</v>
      </c>
      <c r="I20" s="38" t="s">
        <v>406</v>
      </c>
      <c r="J20" t="s">
        <v>407</v>
      </c>
    </row>
  </sheetData>
  <sheetProtection algorithmName="SHA-512" hashValue="qhmxv2+21DC28LySBmgOuWd0cZm7gzk4A9RYPXHtmF9e+W6C1sf+8Kk0b3URfDKGkxLoLSqwk9S0MEKxg8VMUw==" saltValue="6J9BBLTNQgqowAyO6TvPEQ==" spinCount="100000" sheet="1" objects="1" scenarios="1"/>
  <customSheetViews>
    <customSheetView guid="{B03DA2A8-6E10-4AC8-B8E9-08273B4719D3}">
      <selection activeCell="C15" sqref="C15"/>
      <pageMargins left="0.7" right="0.7" top="0.75" bottom="0.75" header="0.3" footer="0.3"/>
    </customSheetView>
    <customSheetView guid="{AF169707-4E0F-443B-AC54-AEDA2A2EE592}">
      <selection activeCell="C15" sqref="C15"/>
      <pageMargins left="0.7" right="0.7" top="0.75" bottom="0.75" header="0.3" footer="0.3"/>
    </customSheetView>
    <customSheetView guid="{9C839773-0576-4D5E-B841-6D274CD2DC85}">
      <selection activeCell="C15" sqref="C15"/>
      <pageMargins left="0.7" right="0.7" top="0.75" bottom="0.75" header="0.3" footer="0.3"/>
    </customSheetView>
    <customSheetView guid="{25DE02B3-1CDA-48F7-89E3-3677026220D5}">
      <selection activeCell="C15" sqref="C1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10</vt:i4>
      </vt:variant>
    </vt:vector>
  </HeadingPairs>
  <TitlesOfParts>
    <vt:vector size="30" baseType="lpstr">
      <vt:lpstr>Request</vt:lpstr>
      <vt:lpstr>Input-TB</vt:lpstr>
      <vt:lpstr>Input-Loan Ageing</vt:lpstr>
      <vt:lpstr>Input-Additional</vt:lpstr>
      <vt:lpstr>Input-SCAN</vt:lpstr>
      <vt:lpstr>Input-PROBATION Self Evaluation</vt:lpstr>
      <vt:lpstr>Output-Risk Profile</vt:lpstr>
      <vt:lpstr>Risk-Profile</vt:lpstr>
      <vt:lpstr>Output-Financial Report</vt:lpstr>
      <vt:lpstr>Financial Report</vt:lpstr>
      <vt:lpstr>Output-Balance Sheet</vt:lpstr>
      <vt:lpstr>Balance Sheet</vt:lpstr>
      <vt:lpstr>Output-PL</vt:lpstr>
      <vt:lpstr>Income Statement</vt:lpstr>
      <vt:lpstr>Output-Capital Adequacy</vt:lpstr>
      <vt:lpstr>Capital Adequacy</vt:lpstr>
      <vt:lpstr>Output-PEARLS</vt:lpstr>
      <vt:lpstr>PEARLS</vt:lpstr>
      <vt:lpstr>Output-MCI</vt:lpstr>
      <vt:lpstr>MCI</vt:lpstr>
      <vt:lpstr>capitaladequacy</vt:lpstr>
      <vt:lpstr>'Input-Additional'!Print_Area</vt:lpstr>
      <vt:lpstr>'Input-Loan Ageing'!Print_Area</vt:lpstr>
      <vt:lpstr>'Input-SCAN'!Print_Area</vt:lpstr>
      <vt:lpstr>'Output-Balance Sheet'!Print_Area</vt:lpstr>
      <vt:lpstr>'Output-Capital Adequacy'!Print_Area</vt:lpstr>
      <vt:lpstr>'Output-PEARLS'!Print_Area</vt:lpstr>
      <vt:lpstr>'Output-PL'!Print_Area</vt:lpstr>
      <vt:lpstr>RWA</vt:lpstr>
      <vt:lpstr>'Output-Risk Profile'!नेपाल_बचत_तथा_ऋण_केन्द्रीय_सहकारी_संघ_लि__नेफस्कून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NEFSCUN Service</cp:lastModifiedBy>
  <cp:lastPrinted>2025-10-09T04:34:21Z</cp:lastPrinted>
  <dcterms:created xsi:type="dcterms:W3CDTF">2015-06-05T18:17:20Z</dcterms:created>
  <dcterms:modified xsi:type="dcterms:W3CDTF">2025-10-09T04:46:21Z</dcterms:modified>
</cp:coreProperties>
</file>